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1"/>
  </bookViews>
  <sheets>
    <sheet name="Stavební rozpočet" sheetId="1" r:id="rId1"/>
    <sheet name="Stavební rozpočet - součet" sheetId="2" r:id="rId2"/>
    <sheet name="Krycí list rozpočtu" sheetId="3" r:id="rId3"/>
  </sheets>
  <definedNames/>
  <calcPr fullCalcOnLoad="1"/>
</workbook>
</file>

<file path=xl/sharedStrings.xml><?xml version="1.0" encoding="utf-8"?>
<sst xmlns="http://schemas.openxmlformats.org/spreadsheetml/2006/main" count="389" uniqueCount="185">
  <si>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</si>
  <si>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</si>
  <si>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</si>
  <si>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</si>
  <si>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</si>
  <si>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</si>
  <si>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</si>
  <si>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</si>
  <si>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</si>
  <si>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</si>
  <si>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</si>
  <si>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</si>
  <si>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</si>
  <si>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</si>
  <si>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</si>
  <si>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</si>
  <si>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</si>
  <si>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</si>
  <si>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</si>
  <si>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</si>
  <si>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</si>
  <si>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</si>
  <si>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</si>
  <si>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</si>
  <si>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Poznámka:</t>
  </si>
  <si>
    <t>Kód</t>
  </si>
  <si>
    <t>0</t>
  </si>
  <si>
    <t>073889118R00</t>
  </si>
  <si>
    <t>61</t>
  </si>
  <si>
    <t>612423521R00</t>
  </si>
  <si>
    <t>64</t>
  </si>
  <si>
    <t>642201011RAA</t>
  </si>
  <si>
    <t>767</t>
  </si>
  <si>
    <t>767587211RT1</t>
  </si>
  <si>
    <t>767587111RT1</t>
  </si>
  <si>
    <t>784</t>
  </si>
  <si>
    <t>784011222RT1</t>
  </si>
  <si>
    <t>67352001</t>
  </si>
  <si>
    <t>784191201R00</t>
  </si>
  <si>
    <t>784195112R00</t>
  </si>
  <si>
    <t>784011921R00</t>
  </si>
  <si>
    <t>784VD</t>
  </si>
  <si>
    <t>H01</t>
  </si>
  <si>
    <t>998012023R00</t>
  </si>
  <si>
    <t>979990105R00</t>
  </si>
  <si>
    <t>M21</t>
  </si>
  <si>
    <t>21003 S1.O3VD</t>
  </si>
  <si>
    <t>S</t>
  </si>
  <si>
    <t>979083117R00</t>
  </si>
  <si>
    <t>979083191R00</t>
  </si>
  <si>
    <t>Zkrácený popis</t>
  </si>
  <si>
    <t>Rozměry</t>
  </si>
  <si>
    <t>Všeobecné konstrukce a práce</t>
  </si>
  <si>
    <t>Provedení nátěru barvou syntetickou, rámů, dveří</t>
  </si>
  <si>
    <t>Úprava povrchů vnitřní</t>
  </si>
  <si>
    <t>Omítka rýh stěn vápenná šířky do 15 cm, hladká</t>
  </si>
  <si>
    <t>Výplně otvorů</t>
  </si>
  <si>
    <t>Výměna dveří 1kř, zárubeň, oprava ostění, práh</t>
  </si>
  <si>
    <t>Konstrukce doplňkové stavební (zámečnické)</t>
  </si>
  <si>
    <t>Podhled minerální Knauf,vidit.kce,kazeta 600x600mm</t>
  </si>
  <si>
    <t>Nosný rošt podhl. Knauf,vidit.kce,kazeta 600x600mm</t>
  </si>
  <si>
    <t>Malby</t>
  </si>
  <si>
    <t>Zakrytí podlah</t>
  </si>
  <si>
    <t>Geotextilie netkaná PK-Nontex PET 150 g/m2</t>
  </si>
  <si>
    <t>Penetrace podkladu hloubková Primalex 1x</t>
  </si>
  <si>
    <t>Malba Primalex Standard, bílá, bez penetrace, 2 x</t>
  </si>
  <si>
    <t>Příplatek, schodiště</t>
  </si>
  <si>
    <t>Oprava drobných defektů stěn sádrováním</t>
  </si>
  <si>
    <t>Budovy občanské výstavby</t>
  </si>
  <si>
    <t>Přesun hmot pro budovy monolitické výšky do 24 m</t>
  </si>
  <si>
    <t>Poplatek za skládku suti - cihelné výrobky, skupina odpadu 170102</t>
  </si>
  <si>
    <t>Elektromontáže</t>
  </si>
  <si>
    <t>Elektromontáže silnoproud včetně dodávky svítidel a úpravy rozvaděče</t>
  </si>
  <si>
    <t>Přesuny sutí</t>
  </si>
  <si>
    <t>Vodorovné přemístění suti na skládku do 6000 m</t>
  </si>
  <si>
    <t>Příplatek za dalších započatých 1000 m nad 6000 m</t>
  </si>
  <si>
    <t>Doba výstavby:</t>
  </si>
  <si>
    <t>Začátek výstavby:</t>
  </si>
  <si>
    <t>Konec výstavby:</t>
  </si>
  <si>
    <t>Zpracováno dne:</t>
  </si>
  <si>
    <t>13.01.2022</t>
  </si>
  <si>
    <t>MJ</t>
  </si>
  <si>
    <t>m2</t>
  </si>
  <si>
    <t>kus</t>
  </si>
  <si>
    <t>t</t>
  </si>
  <si>
    <t>Množství</t>
  </si>
  <si>
    <t>Objednatel:</t>
  </si>
  <si>
    <t>Projektant:</t>
  </si>
  <si>
    <t>Zhotovitel:</t>
  </si>
  <si>
    <t>Zpracoval:</t>
  </si>
  <si>
    <t>Cena/MJ</t>
  </si>
  <si>
    <t>(Kč)</t>
  </si>
  <si>
    <t>Střední zdravotnická škola a Vyšší odborná škola z</t>
  </si>
  <si>
    <t> </t>
  </si>
  <si>
    <t>Vladan Bartošek</t>
  </si>
  <si>
    <t>Náklady (Kč)</t>
  </si>
  <si>
    <t>Dodávka</t>
  </si>
  <si>
    <t>Celkem:</t>
  </si>
  <si>
    <t>Montáž</t>
  </si>
  <si>
    <t>Celkem</t>
  </si>
  <si>
    <t>Cenová</t>
  </si>
  <si>
    <t>soustava</t>
  </si>
  <si>
    <t>RTS II / 2021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</si>
  <si>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</si>
  <si>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</si>
  <si>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</si>
  <si>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</si>
  <si>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</si>
  <si>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</si>
  <si>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</si>
  <si>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</si>
  <si>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</si>
  <si>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0_</t>
  </si>
  <si>
    <t>61_</t>
  </si>
  <si>
    <t>64_</t>
  </si>
  <si>
    <t>767_</t>
  </si>
  <si>
    <t>784_</t>
  </si>
  <si>
    <t>H01_</t>
  </si>
  <si>
    <t>M21_</t>
  </si>
  <si>
    <t>S_</t>
  </si>
  <si>
    <t>6_</t>
  </si>
  <si>
    <t>76_</t>
  </si>
  <si>
    <t>78_</t>
  </si>
  <si>
    <t>9_</t>
  </si>
  <si>
    <t>_</t>
  </si>
  <si>
    <t>MAT</t>
  </si>
  <si>
    <t>WORK</t>
  </si>
  <si>
    <t>CELK</t>
  </si>
  <si>
    <t>ISWORK</t>
  </si>
  <si>
    <t>P</t>
  </si>
  <si>
    <t>M</t>
  </si>
  <si>
    <t>GROUPCODE</t>
  </si>
  <si>
    <t>Slepý stavební rozpočet - rekapitulace</t>
  </si>
  <si>
    <t>Objekt</t>
  </si>
  <si>
    <t>Náklady (Kč) - dodávka</t>
  </si>
  <si>
    <t>Náklady (Kč) - Montáž</t>
  </si>
  <si>
    <t>Náklady (Kč) - celkem</t>
  </si>
  <si>
    <t>T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</si>
  <si>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</si>
  <si>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</si>
  <si>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</si>
  <si>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</si>
  <si>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</si>
  <si>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</si>
  <si>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</si>
  <si>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</si>
  <si>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</si>
  <si>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</si>
  <si>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</si>
  <si>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</si>
  <si>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</si>
  <si>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</si>
  <si>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</si>
  <si>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</si>
  <si>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</si>
  <si>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</si>
  <si>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</si>
  <si>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</si>
  <si>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</si>
  <si>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</si>
  <si>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</si>
  <si>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</si>
  <si>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</si>
  <si>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</si>
  <si>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</si>
  <si>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</si>
  <si>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</si>
  <si>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</si>
  <si>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</si>
  <si>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</si>
  <si>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</si>
  <si>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</si>
  <si>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</si>
  <si>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</si>
  <si>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</si>
  <si>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</si>
  <si>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</si>
  <si>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</si>
  <si>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</si>
  <si>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</si>
  <si>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</si>
  <si>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</si>
  <si>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00600920/CZ00600920</t>
  </si>
  <si>
    <t>Dodávka a montáž snížených podhledů Thermatex na chodbách včetně opravy elektro rozvodů“</t>
  </si>
  <si>
    <t>Dodávka a montáž snížených podhledů včetně opravy elektroinstalace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</si>
</sst>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d/mm/yy"/>
    <numFmt numFmtId="165" formatCode="dd\.mmmm\.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7">
    <font>
      <sz val="10"/>
      <name val="Arial"/>
      <family val="0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sz val="10"/>
      <color indexed="61"/>
      <name val="Arial"/>
      <family val="2"/>
    </font>
    <font>
      <sz val="10"/>
      <color indexed="62"/>
      <name val="Arial"/>
      <family val="2"/>
    </font>
    <font>
      <i/>
      <sz val="8"/>
      <color indexed="8"/>
      <name val="Arial"/>
      <family val="2"/>
    </font>
    <font>
      <b/>
      <sz val="10"/>
      <color indexed="56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8"/>
      <color indexed="23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23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2" fillId="20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43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44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49" fontId="4" fillId="33" borderId="13" xfId="0" applyNumberFormat="1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5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1" fillId="0" borderId="17" xfId="0" applyNumberFormat="1" applyFont="1" applyFill="1" applyBorder="1" applyAlignment="1" applyProtection="1">
      <alignment horizontal="left" vertical="center"/>
      <protection/>
    </xf>
    <xf numFmtId="49" fontId="8" fillId="33" borderId="18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19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18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19" xfId="0" applyNumberFormat="1" applyFont="1" applyFill="1" applyBorder="1" applyAlignment="1" applyProtection="1">
      <alignment horizontal="right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9" fontId="8" fillId="33" borderId="27" xfId="0" applyNumberFormat="1" applyFont="1" applyFill="1" applyBorder="1" applyAlignment="1" applyProtection="1">
      <alignment horizontal="right" vertical="center"/>
      <protection/>
    </xf>
    <xf numFmtId="49" fontId="5" fillId="0" borderId="28" xfId="0" applyNumberFormat="1" applyFont="1" applyFill="1" applyBorder="1" applyAlignment="1" applyProtection="1">
      <alignment horizontal="right" vertical="center"/>
      <protection/>
    </xf>
    <xf numFmtId="49" fontId="8" fillId="33" borderId="28" xfId="0" applyNumberFormat="1" applyFont="1" applyFill="1" applyBorder="1" applyAlignment="1" applyProtection="1">
      <alignment horizontal="right" vertical="center"/>
      <protection/>
    </xf>
    <xf numFmtId="49" fontId="6" fillId="0" borderId="28" xfId="0" applyNumberFormat="1" applyFont="1" applyFill="1" applyBorder="1" applyAlignment="1" applyProtection="1">
      <alignment horizontal="right" vertical="center"/>
      <protection/>
    </xf>
    <xf numFmtId="49" fontId="5" fillId="0" borderId="29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18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49" fontId="3" fillId="0" borderId="31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49" fontId="3" fillId="0" borderId="32" xfId="0" applyNumberFormat="1" applyFont="1" applyFill="1" applyBorder="1" applyAlignment="1" applyProtection="1">
      <alignment horizontal="left" vertical="center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49" fontId="3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49" fontId="3" fillId="0" borderId="33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" fontId="1" fillId="0" borderId="18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49" fontId="10" fillId="34" borderId="35" xfId="0" applyNumberFormat="1" applyFont="1" applyFill="1" applyBorder="1" applyAlignment="1" applyProtection="1">
      <alignment horizontal="center" vertical="center"/>
      <protection/>
    </xf>
    <xf numFmtId="49" fontId="11" fillId="0" borderId="34" xfId="0" applyNumberFormat="1" applyFont="1" applyFill="1" applyBorder="1" applyAlignment="1" applyProtection="1">
      <alignment horizontal="left" vertical="center"/>
      <protection/>
    </xf>
    <xf numFmtId="49" fontId="1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37" xfId="0" applyNumberFormat="1" applyFont="1" applyFill="1" applyBorder="1" applyAlignment="1" applyProtection="1">
      <alignment vertical="center"/>
      <protection/>
    </xf>
    <xf numFmtId="49" fontId="7" fillId="0" borderId="18" xfId="0" applyNumberFormat="1" applyFont="1" applyFill="1" applyBorder="1" applyAlignment="1" applyProtection="1">
      <alignment horizontal="left" vertical="center"/>
      <protection/>
    </xf>
    <xf numFmtId="49" fontId="12" fillId="0" borderId="35" xfId="0" applyNumberFormat="1" applyFont="1" applyFill="1" applyBorder="1" applyAlignment="1" applyProtection="1">
      <alignment horizontal="left"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0" fontId="1" fillId="0" borderId="38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" fontId="12" fillId="0" borderId="35" xfId="0" applyNumberFormat="1" applyFont="1" applyFill="1" applyBorder="1" applyAlignment="1" applyProtection="1">
      <alignment horizontal="right" vertical="center"/>
      <protection/>
    </xf>
    <xf numFmtId="49" fontId="12" fillId="0" borderId="35" xfId="0" applyNumberFormat="1" applyFont="1" applyFill="1" applyBorder="1" applyAlignment="1" applyProtection="1">
      <alignment horizontal="right" vertical="center"/>
      <protection/>
    </xf>
    <xf numFmtId="4" fontId="12" fillId="0" borderId="23" xfId="0" applyNumberFormat="1" applyFont="1" applyFill="1" applyBorder="1" applyAlignment="1" applyProtection="1">
      <alignment horizontal="right"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0" fontId="1" fillId="0" borderId="39" xfId="0" applyNumberFormat="1" applyFont="1" applyFill="1" applyBorder="1" applyAlignment="1" applyProtection="1">
      <alignment vertical="center"/>
      <protection/>
    </xf>
    <xf numFmtId="4" fontId="11" fillId="34" borderId="40" xfId="0" applyNumberFormat="1" applyFont="1" applyFill="1" applyBorder="1" applyAlignment="1" applyProtection="1">
      <alignment horizontal="right" vertical="center"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14" fillId="0" borderId="0" xfId="0" applyFont="1" applyAlignment="1">
      <alignment vertical="center"/>
    </xf>
    <xf numFmtId="49" fontId="2" fillId="0" borderId="19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38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42" xfId="0" applyNumberFormat="1" applyFont="1" applyFill="1" applyBorder="1" applyAlignment="1" applyProtection="1">
      <alignment horizontal="left" vertical="center"/>
      <protection/>
    </xf>
    <xf numFmtId="0" fontId="1" fillId="0" borderId="43" xfId="0" applyNumberFormat="1" applyFont="1" applyFill="1" applyBorder="1" applyAlignment="1" applyProtection="1">
      <alignment horizontal="left" vertical="center"/>
      <protection/>
    </xf>
    <xf numFmtId="0" fontId="1" fillId="0" borderId="44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3" fillId="0" borderId="27" xfId="0" applyNumberFormat="1" applyFont="1" applyFill="1" applyBorder="1" applyAlignment="1" applyProtection="1">
      <alignment horizontal="left" vertical="center"/>
      <protection/>
    </xf>
    <xf numFmtId="49" fontId="3" fillId="0" borderId="45" xfId="0" applyNumberFormat="1" applyFont="1" applyFill="1" applyBorder="1" applyAlignment="1" applyProtection="1">
      <alignment horizontal="center" vertical="center"/>
      <protection/>
    </xf>
    <xf numFmtId="0" fontId="3" fillId="0" borderId="46" xfId="0" applyNumberFormat="1" applyFont="1" applyFill="1" applyBorder="1" applyAlignment="1" applyProtection="1">
      <alignment horizontal="center" vertical="center"/>
      <protection/>
    </xf>
    <xf numFmtId="0" fontId="3" fillId="0" borderId="47" xfId="0" applyNumberFormat="1" applyFont="1" applyFill="1" applyBorder="1" applyAlignment="1" applyProtection="1">
      <alignment horizontal="center" vertical="center"/>
      <protection/>
    </xf>
    <xf numFmtId="49" fontId="3" fillId="0" borderId="42" xfId="0" applyNumberFormat="1" applyFont="1" applyFill="1" applyBorder="1" applyAlignment="1" applyProtection="1">
      <alignment horizontal="left" vertical="center"/>
      <protection/>
    </xf>
    <xf numFmtId="0" fontId="3" fillId="0" borderId="43" xfId="0" applyNumberFormat="1" applyFont="1" applyFill="1" applyBorder="1" applyAlignment="1" applyProtection="1">
      <alignment horizontal="left" vertical="center"/>
      <protection/>
    </xf>
    <xf numFmtId="0" fontId="3" fillId="0" borderId="44" xfId="0" applyNumberFormat="1" applyFont="1" applyFill="1" applyBorder="1" applyAlignment="1" applyProtection="1">
      <alignment horizontal="left" vertical="center"/>
      <protection/>
    </xf>
    <xf numFmtId="49" fontId="8" fillId="33" borderId="18" xfId="0" applyNumberFormat="1" applyFont="1" applyFill="1" applyBorder="1" applyAlignment="1" applyProtection="1">
      <alignment horizontal="left" vertical="center"/>
      <protection/>
    </xf>
    <xf numFmtId="0" fontId="8" fillId="33" borderId="18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0" fontId="8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19" xfId="0" applyNumberFormat="1" applyFont="1" applyFill="1" applyBorder="1" applyAlignment="1" applyProtection="1">
      <alignment horizontal="left" vertical="center"/>
      <protection/>
    </xf>
    <xf numFmtId="0" fontId="5" fillId="0" borderId="19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38" xfId="0" applyNumberFormat="1" applyFont="1" applyFill="1" applyBorder="1" applyAlignment="1" applyProtection="1">
      <alignment horizontal="left" vertical="center" wrapText="1"/>
      <protection/>
    </xf>
    <xf numFmtId="0" fontId="1" fillId="0" borderId="28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1" fillId="0" borderId="38" xfId="0" applyNumberFormat="1" applyFont="1" applyFill="1" applyBorder="1" applyAlignment="1" applyProtection="1">
      <alignment horizontal="left" vertical="center"/>
      <protection/>
    </xf>
    <xf numFmtId="49" fontId="1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horizontal="left" vertical="center"/>
      <protection/>
    </xf>
    <xf numFmtId="49" fontId="9" fillId="0" borderId="48" xfId="0" applyNumberFormat="1" applyFont="1" applyFill="1" applyBorder="1" applyAlignment="1" applyProtection="1">
      <alignment horizontal="center" vertical="center"/>
      <protection/>
    </xf>
    <xf numFmtId="0" fontId="9" fillId="0" borderId="48" xfId="0" applyNumberFormat="1" applyFont="1" applyFill="1" applyBorder="1" applyAlignment="1" applyProtection="1">
      <alignment horizontal="center" vertical="center"/>
      <protection/>
    </xf>
    <xf numFmtId="49" fontId="13" fillId="0" borderId="39" xfId="0" applyNumberFormat="1" applyFont="1" applyFill="1" applyBorder="1" applyAlignment="1" applyProtection="1">
      <alignment horizontal="left" vertical="center"/>
      <protection/>
    </xf>
    <xf numFmtId="0" fontId="13" fillId="0" borderId="40" xfId="0" applyNumberFormat="1" applyFont="1" applyFill="1" applyBorder="1" applyAlignment="1" applyProtection="1">
      <alignment horizontal="left" vertical="center"/>
      <protection/>
    </xf>
    <xf numFmtId="49" fontId="12" fillId="0" borderId="39" xfId="0" applyNumberFormat="1" applyFont="1" applyFill="1" applyBorder="1" applyAlignment="1" applyProtection="1">
      <alignment horizontal="left" vertical="center"/>
      <protection/>
    </xf>
    <xf numFmtId="0" fontId="12" fillId="0" borderId="40" xfId="0" applyNumberFormat="1" applyFont="1" applyFill="1" applyBorder="1" applyAlignment="1" applyProtection="1">
      <alignment horizontal="left" vertical="center"/>
      <protection/>
    </xf>
    <xf numFmtId="49" fontId="11" fillId="0" borderId="39" xfId="0" applyNumberFormat="1" applyFont="1" applyFill="1" applyBorder="1" applyAlignment="1" applyProtection="1">
      <alignment horizontal="left" vertical="center"/>
      <protection/>
    </xf>
    <xf numFmtId="0" fontId="11" fillId="0" borderId="40" xfId="0" applyNumberFormat="1" applyFont="1" applyFill="1" applyBorder="1" applyAlignment="1" applyProtection="1">
      <alignment horizontal="left" vertical="center"/>
      <protection/>
    </xf>
    <xf numFmtId="49" fontId="11" fillId="34" borderId="39" xfId="0" applyNumberFormat="1" applyFont="1" applyFill="1" applyBorder="1" applyAlignment="1" applyProtection="1">
      <alignment horizontal="left" vertical="center"/>
      <protection/>
    </xf>
    <xf numFmtId="0" fontId="11" fillId="34" borderId="48" xfId="0" applyNumberFormat="1" applyFont="1" applyFill="1" applyBorder="1" applyAlignment="1" applyProtection="1">
      <alignment horizontal="left" vertical="center"/>
      <protection/>
    </xf>
    <xf numFmtId="49" fontId="12" fillId="0" borderId="49" xfId="0" applyNumberFormat="1" applyFont="1" applyFill="1" applyBorder="1" applyAlignment="1" applyProtection="1">
      <alignment horizontal="left" vertical="center"/>
      <protection/>
    </xf>
    <xf numFmtId="0" fontId="12" fillId="0" borderId="18" xfId="0" applyNumberFormat="1" applyFont="1" applyFill="1" applyBorder="1" applyAlignment="1" applyProtection="1">
      <alignment horizontal="left" vertical="center"/>
      <protection/>
    </xf>
    <xf numFmtId="0" fontId="12" fillId="0" borderId="50" xfId="0" applyNumberFormat="1" applyFont="1" applyFill="1" applyBorder="1" applyAlignment="1" applyProtection="1">
      <alignment horizontal="left" vertical="center"/>
      <protection/>
    </xf>
    <xf numFmtId="49" fontId="12" fillId="0" borderId="30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51" xfId="0" applyNumberFormat="1" applyFont="1" applyFill="1" applyBorder="1" applyAlignment="1" applyProtection="1">
      <alignment horizontal="left" vertical="center"/>
      <protection/>
    </xf>
    <xf numFmtId="49" fontId="12" fillId="0" borderId="52" xfId="0" applyNumberFormat="1" applyFont="1" applyFill="1" applyBorder="1" applyAlignment="1" applyProtection="1">
      <alignment horizontal="left" vertical="center"/>
      <protection/>
    </xf>
    <xf numFmtId="0" fontId="12" fillId="0" borderId="43" xfId="0" applyNumberFormat="1" applyFont="1" applyFill="1" applyBorder="1" applyAlignment="1" applyProtection="1">
      <alignment horizontal="left" vertical="center"/>
      <protection/>
    </xf>
    <xf numFmtId="0" fontId="12" fillId="0" borderId="53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00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802E7.FE2B215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802E7.FE2B2150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802E7.FE2B215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</xdr:col>
      <xdr:colOff>561975</xdr:colOff>
      <xdr:row>0</xdr:row>
      <xdr:rowOff>847725</xdr:rowOff>
    </xdr:to>
    <xdr:pic>
      <xdr:nvPicPr>
        <xdr:cNvPr id="1" name="obrázek 1" descr="logo_15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7625" y="66675"/>
          <a:ext cx="7620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104775</xdr:rowOff>
    </xdr:from>
    <xdr:to>
      <xdr:col>1</xdr:col>
      <xdr:colOff>333375</xdr:colOff>
      <xdr:row>0</xdr:row>
      <xdr:rowOff>895350</xdr:rowOff>
    </xdr:to>
    <xdr:pic>
      <xdr:nvPicPr>
        <xdr:cNvPr id="1" name="obrázek 1" descr="logo_15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8100" y="104775"/>
          <a:ext cx="7715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</xdr:col>
      <xdr:colOff>266700</xdr:colOff>
      <xdr:row>0</xdr:row>
      <xdr:rowOff>904875</xdr:rowOff>
    </xdr:to>
    <xdr:pic>
      <xdr:nvPicPr>
        <xdr:cNvPr id="1" name="obrázek 1" descr="logo_15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050" y="38100"/>
          <a:ext cx="857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39"/>
  <sheetViews>
    <sheetView zoomScalePageLayoutView="0" workbookViewId="0" topLeftCell="A1">
      <pane ySplit="11" topLeftCell="A24" activePane="bottomLeft" state="frozen"/>
      <selection pane="topLeft" activeCell="A1" sqref="A1"/>
      <selection pane="bottomLeft" activeCell="O36" sqref="O36"/>
    </sheetView>
  </sheetViews>
  <sheetFormatPr defaultColWidth="11.57421875" defaultRowHeight="12.75"/>
  <cols>
    <col min="1" max="1" width="3.7109375" style="0" customWidth="1"/>
    <col min="2" max="2" width="14.28125" style="0" customWidth="1"/>
    <col min="3" max="3" width="1.421875" style="0" customWidth="1"/>
    <col min="4" max="4" width="47.28125" style="0" customWidth="1"/>
    <col min="5" max="6" width="11.57421875" style="0" customWidth="1"/>
    <col min="7" max="7" width="4.28125" style="0" customWidth="1"/>
    <col min="8" max="8" width="12.8515625" style="0" customWidth="1"/>
    <col min="9" max="9" width="11.8515625" style="0" customWidth="1"/>
    <col min="10" max="11" width="14.28125" style="0" hidden="1" customWidth="1"/>
    <col min="12" max="12" width="24.7109375" style="0" customWidth="1"/>
    <col min="13" max="13" width="11.7109375" style="0" hidden="1" customWidth="1"/>
    <col min="14" max="14" width="13.00390625" style="0" customWidth="1"/>
    <col min="15" max="24" width="11.57421875" style="0" customWidth="1"/>
    <col min="25" max="64" width="12.140625" style="0" hidden="1" customWidth="1"/>
  </cols>
  <sheetData>
    <row r="1" spans="1:13" ht="72.75" customHeight="1">
      <c r="A1" s="77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4" ht="12.75" customHeight="1">
      <c r="A2" s="79" t="s">
        <v>1</v>
      </c>
      <c r="B2" s="80"/>
      <c r="C2" s="83" t="s">
        <v>184</v>
      </c>
      <c r="D2" s="84"/>
      <c r="E2" s="86" t="s">
        <v>76</v>
      </c>
      <c r="F2" s="80"/>
      <c r="G2" s="86" t="s">
        <v>6</v>
      </c>
      <c r="H2" s="80"/>
      <c r="I2" s="87" t="s">
        <v>86</v>
      </c>
      <c r="J2" s="87" t="s">
        <v>92</v>
      </c>
      <c r="K2" s="80"/>
      <c r="L2" s="80"/>
      <c r="M2" s="88"/>
      <c r="N2" s="36"/>
    </row>
    <row r="3" spans="1:14" ht="12.75">
      <c r="A3" s="81"/>
      <c r="B3" s="82"/>
      <c r="C3" s="85"/>
      <c r="D3" s="85"/>
      <c r="E3" s="82"/>
      <c r="F3" s="82"/>
      <c r="G3" s="82"/>
      <c r="H3" s="82"/>
      <c r="I3" s="82"/>
      <c r="J3" s="82"/>
      <c r="K3" s="82"/>
      <c r="L3" s="82"/>
      <c r="M3" s="89"/>
      <c r="N3" s="36"/>
    </row>
    <row r="4" spans="1:14" ht="12.75">
      <c r="A4" s="90" t="s">
        <v>2</v>
      </c>
      <c r="B4" s="82"/>
      <c r="C4" s="91" t="s">
        <v>6</v>
      </c>
      <c r="D4" s="82"/>
      <c r="E4" s="92" t="s">
        <v>77</v>
      </c>
      <c r="F4" s="82"/>
      <c r="G4" s="92" t="s">
        <v>80</v>
      </c>
      <c r="H4" s="82"/>
      <c r="I4" s="91" t="s">
        <v>87</v>
      </c>
      <c r="J4" s="92" t="s">
        <v>93</v>
      </c>
      <c r="K4" s="82"/>
      <c r="L4" s="82"/>
      <c r="M4" s="89"/>
      <c r="N4" s="36"/>
    </row>
    <row r="5" spans="1:14" ht="12.75">
      <c r="A5" s="81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9"/>
      <c r="N5" s="36"/>
    </row>
    <row r="6" spans="1:14" ht="12.75">
      <c r="A6" s="90" t="s">
        <v>3</v>
      </c>
      <c r="B6" s="82"/>
      <c r="C6" s="91" t="s">
        <v>6</v>
      </c>
      <c r="D6" s="82"/>
      <c r="E6" s="92" t="s">
        <v>78</v>
      </c>
      <c r="F6" s="82"/>
      <c r="G6" s="92" t="s">
        <v>6</v>
      </c>
      <c r="H6" s="82"/>
      <c r="I6" s="91" t="s">
        <v>88</v>
      </c>
      <c r="J6" s="92" t="s">
        <v>93</v>
      </c>
      <c r="K6" s="82"/>
      <c r="L6" s="82"/>
      <c r="M6" s="89"/>
      <c r="N6" s="36"/>
    </row>
    <row r="7" spans="1:14" ht="12.75">
      <c r="A7" s="81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9"/>
      <c r="N7" s="36"/>
    </row>
    <row r="8" spans="1:14" ht="12.75">
      <c r="A8" s="90" t="s">
        <v>4</v>
      </c>
      <c r="B8" s="82"/>
      <c r="C8" s="91">
        <v>8013</v>
      </c>
      <c r="D8" s="82"/>
      <c r="E8" s="92" t="s">
        <v>79</v>
      </c>
      <c r="F8" s="82"/>
      <c r="G8" s="92" t="s">
        <v>80</v>
      </c>
      <c r="H8" s="82"/>
      <c r="I8" s="91" t="s">
        <v>89</v>
      </c>
      <c r="J8" s="91" t="s">
        <v>94</v>
      </c>
      <c r="K8" s="82"/>
      <c r="L8" s="82"/>
      <c r="M8" s="89"/>
      <c r="N8" s="36"/>
    </row>
    <row r="9" spans="1:14" ht="12.75">
      <c r="A9" s="93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5"/>
      <c r="N9" s="36"/>
    </row>
    <row r="10" spans="1:64" ht="12.75">
      <c r="A10" s="1" t="s">
        <v>5</v>
      </c>
      <c r="B10" s="10" t="s">
        <v>25</v>
      </c>
      <c r="C10" s="96" t="s">
        <v>50</v>
      </c>
      <c r="D10" s="97"/>
      <c r="E10" s="97"/>
      <c r="F10" s="98"/>
      <c r="G10" s="10" t="s">
        <v>81</v>
      </c>
      <c r="H10" s="20" t="s">
        <v>85</v>
      </c>
      <c r="I10" s="24" t="s">
        <v>90</v>
      </c>
      <c r="J10" s="99" t="s">
        <v>95</v>
      </c>
      <c r="K10" s="100"/>
      <c r="L10" s="101"/>
      <c r="M10" s="29" t="s">
        <v>100</v>
      </c>
      <c r="N10" s="37"/>
      <c r="BK10" s="38" t="s">
        <v>128</v>
      </c>
      <c r="BL10" s="43" t="s">
        <v>131</v>
      </c>
    </row>
    <row r="11" spans="1:62" ht="12.75">
      <c r="A11" s="2" t="s">
        <v>6</v>
      </c>
      <c r="B11" s="11" t="s">
        <v>6</v>
      </c>
      <c r="C11" s="102" t="s">
        <v>51</v>
      </c>
      <c r="D11" s="103"/>
      <c r="E11" s="103"/>
      <c r="F11" s="104"/>
      <c r="G11" s="11" t="s">
        <v>6</v>
      </c>
      <c r="H11" s="11" t="s">
        <v>6</v>
      </c>
      <c r="I11" s="25" t="s">
        <v>91</v>
      </c>
      <c r="J11" s="26" t="s">
        <v>96</v>
      </c>
      <c r="K11" s="27" t="s">
        <v>98</v>
      </c>
      <c r="L11" s="28" t="s">
        <v>99</v>
      </c>
      <c r="M11" s="30" t="s">
        <v>101</v>
      </c>
      <c r="N11" s="37"/>
      <c r="Z11" s="38" t="s">
        <v>103</v>
      </c>
      <c r="AA11" s="38" t="s">
        <v>104</v>
      </c>
      <c r="AB11" s="38" t="s">
        <v>105</v>
      </c>
      <c r="AC11" s="38" t="s">
        <v>106</v>
      </c>
      <c r="AD11" s="38" t="s">
        <v>107</v>
      </c>
      <c r="AE11" s="38" t="s">
        <v>108</v>
      </c>
      <c r="AF11" s="38" t="s">
        <v>109</v>
      </c>
      <c r="AG11" s="38" t="s">
        <v>110</v>
      </c>
      <c r="AH11" s="38" t="s">
        <v>111</v>
      </c>
      <c r="BH11" s="38" t="s">
        <v>125</v>
      </c>
      <c r="BI11" s="38" t="s">
        <v>126</v>
      </c>
      <c r="BJ11" s="38" t="s">
        <v>127</v>
      </c>
    </row>
    <row r="12" spans="1:47" ht="12.75">
      <c r="A12" s="3"/>
      <c r="B12" s="12" t="s">
        <v>26</v>
      </c>
      <c r="C12" s="105" t="s">
        <v>52</v>
      </c>
      <c r="D12" s="106"/>
      <c r="E12" s="106"/>
      <c r="F12" s="106"/>
      <c r="G12" s="18" t="s">
        <v>6</v>
      </c>
      <c r="H12" s="18" t="s">
        <v>6</v>
      </c>
      <c r="I12" s="18" t="s">
        <v>6</v>
      </c>
      <c r="J12" s="44">
        <f>SUM(J13:J13)</f>
        <v>0</v>
      </c>
      <c r="K12" s="44">
        <f>SUM(K13:K13)</f>
        <v>0</v>
      </c>
      <c r="L12" s="44">
        <f>SUM(L13:L13)</f>
        <v>0</v>
      </c>
      <c r="M12" s="31"/>
      <c r="N12" s="36"/>
      <c r="AI12" s="38"/>
      <c r="AS12" s="45">
        <f>SUM(AJ13:AJ13)</f>
        <v>0</v>
      </c>
      <c r="AT12" s="45">
        <f>SUM(AK13:AK13)</f>
        <v>0</v>
      </c>
      <c r="AU12" s="45">
        <f>SUM(AL13:AL13)</f>
        <v>0</v>
      </c>
    </row>
    <row r="13" spans="1:64" ht="12.75">
      <c r="A13" s="4" t="s">
        <v>7</v>
      </c>
      <c r="B13" s="13" t="s">
        <v>27</v>
      </c>
      <c r="C13" s="107" t="s">
        <v>53</v>
      </c>
      <c r="D13" s="108"/>
      <c r="E13" s="108"/>
      <c r="F13" s="108"/>
      <c r="G13" s="13" t="s">
        <v>82</v>
      </c>
      <c r="H13" s="21">
        <v>20.328</v>
      </c>
      <c r="I13" s="21">
        <v>0</v>
      </c>
      <c r="J13" s="21">
        <f>H13*AO13</f>
        <v>0</v>
      </c>
      <c r="K13" s="21">
        <f>H13*AP13</f>
        <v>0</v>
      </c>
      <c r="L13" s="21">
        <f>H13*I13</f>
        <v>0</v>
      </c>
      <c r="M13" s="32" t="s">
        <v>102</v>
      </c>
      <c r="N13" s="36"/>
      <c r="Z13" s="39">
        <f>IF(AQ13="5",BJ13,0)</f>
        <v>0</v>
      </c>
      <c r="AB13" s="39">
        <f>IF(AQ13="1",BH13,0)</f>
        <v>0</v>
      </c>
      <c r="AC13" s="39">
        <f>IF(AQ13="1",BI13,0)</f>
        <v>0</v>
      </c>
      <c r="AD13" s="39">
        <f>IF(AQ13="7",BH13,0)</f>
        <v>0</v>
      </c>
      <c r="AE13" s="39">
        <f>IF(AQ13="7",BI13,0)</f>
        <v>0</v>
      </c>
      <c r="AF13" s="39">
        <f>IF(AQ13="2",BH13,0)</f>
        <v>0</v>
      </c>
      <c r="AG13" s="39">
        <f>IF(AQ13="2",BI13,0)</f>
        <v>0</v>
      </c>
      <c r="AH13" s="39">
        <f>IF(AQ13="0",BJ13,0)</f>
        <v>0</v>
      </c>
      <c r="AI13" s="38"/>
      <c r="AJ13" s="21">
        <f>IF(AN13=0,L13,0)</f>
        <v>0</v>
      </c>
      <c r="AK13" s="21">
        <f>IF(AN13=15,L13,0)</f>
        <v>0</v>
      </c>
      <c r="AL13" s="21">
        <f>IF(AN13=21,L13,0)</f>
        <v>0</v>
      </c>
      <c r="AN13" s="39">
        <v>15</v>
      </c>
      <c r="AO13" s="39">
        <f>I13*0</f>
        <v>0</v>
      </c>
      <c r="AP13" s="39">
        <f>I13*(1-0)</f>
        <v>0</v>
      </c>
      <c r="AQ13" s="40" t="s">
        <v>7</v>
      </c>
      <c r="AV13" s="39">
        <f>AW13+AX13</f>
        <v>0</v>
      </c>
      <c r="AW13" s="39">
        <f>H13*AO13</f>
        <v>0</v>
      </c>
      <c r="AX13" s="39">
        <f>H13*AP13</f>
        <v>0</v>
      </c>
      <c r="AY13" s="42" t="s">
        <v>112</v>
      </c>
      <c r="AZ13" s="42" t="s">
        <v>112</v>
      </c>
      <c r="BA13" s="38" t="s">
        <v>124</v>
      </c>
      <c r="BC13" s="39">
        <f>AW13+AX13</f>
        <v>0</v>
      </c>
      <c r="BD13" s="39">
        <f>I13/(100-BE13)*100</f>
        <v>0</v>
      </c>
      <c r="BE13" s="39">
        <v>0</v>
      </c>
      <c r="BF13" s="39">
        <f>13</f>
        <v>13</v>
      </c>
      <c r="BH13" s="21">
        <f>H13*AO13</f>
        <v>0</v>
      </c>
      <c r="BI13" s="21">
        <f>H13*AP13</f>
        <v>0</v>
      </c>
      <c r="BJ13" s="21">
        <f>H13*I13</f>
        <v>0</v>
      </c>
      <c r="BK13" s="21" t="s">
        <v>129</v>
      </c>
      <c r="BL13" s="39">
        <v>0</v>
      </c>
    </row>
    <row r="14" spans="1:47" ht="12.75">
      <c r="A14" s="5"/>
      <c r="B14" s="14" t="s">
        <v>28</v>
      </c>
      <c r="C14" s="109" t="s">
        <v>54</v>
      </c>
      <c r="D14" s="110"/>
      <c r="E14" s="110"/>
      <c r="F14" s="110"/>
      <c r="G14" s="19" t="s">
        <v>6</v>
      </c>
      <c r="H14" s="19" t="s">
        <v>6</v>
      </c>
      <c r="I14" s="19" t="s">
        <v>6</v>
      </c>
      <c r="J14" s="45">
        <f>SUM(J15:J15)</f>
        <v>0</v>
      </c>
      <c r="K14" s="45">
        <f>SUM(K15:K15)</f>
        <v>0</v>
      </c>
      <c r="L14" s="45">
        <f>SUM(L15:L15)</f>
        <v>0</v>
      </c>
      <c r="M14" s="33"/>
      <c r="N14" s="36"/>
      <c r="AI14" s="38"/>
      <c r="AS14" s="45">
        <f>SUM(AJ15:AJ15)</f>
        <v>0</v>
      </c>
      <c r="AT14" s="45">
        <f>SUM(AK15:AK15)</f>
        <v>0</v>
      </c>
      <c r="AU14" s="45">
        <f>SUM(AL15:AL15)</f>
        <v>0</v>
      </c>
    </row>
    <row r="15" spans="1:64" ht="12.75">
      <c r="A15" s="4" t="s">
        <v>8</v>
      </c>
      <c r="B15" s="13" t="s">
        <v>29</v>
      </c>
      <c r="C15" s="107" t="s">
        <v>55</v>
      </c>
      <c r="D15" s="108"/>
      <c r="E15" s="108"/>
      <c r="F15" s="108"/>
      <c r="G15" s="13" t="s">
        <v>82</v>
      </c>
      <c r="H15" s="21">
        <v>4</v>
      </c>
      <c r="I15" s="21">
        <v>0</v>
      </c>
      <c r="J15" s="21">
        <f>H15*AO15</f>
        <v>0</v>
      </c>
      <c r="K15" s="21">
        <f>H15*AP15</f>
        <v>0</v>
      </c>
      <c r="L15" s="21">
        <f>H15*I15</f>
        <v>0</v>
      </c>
      <c r="M15" s="32" t="s">
        <v>102</v>
      </c>
      <c r="N15" s="36"/>
      <c r="Z15" s="39">
        <f>IF(AQ15="5",BJ15,0)</f>
        <v>0</v>
      </c>
      <c r="AB15" s="39">
        <f>IF(AQ15="1",BH15,0)</f>
        <v>0</v>
      </c>
      <c r="AC15" s="39">
        <f>IF(AQ15="1",BI15,0)</f>
        <v>0</v>
      </c>
      <c r="AD15" s="39">
        <f>IF(AQ15="7",BH15,0)</f>
        <v>0</v>
      </c>
      <c r="AE15" s="39">
        <f>IF(AQ15="7",BI15,0)</f>
        <v>0</v>
      </c>
      <c r="AF15" s="39">
        <f>IF(AQ15="2",BH15,0)</f>
        <v>0</v>
      </c>
      <c r="AG15" s="39">
        <f>IF(AQ15="2",BI15,0)</f>
        <v>0</v>
      </c>
      <c r="AH15" s="39">
        <f>IF(AQ15="0",BJ15,0)</f>
        <v>0</v>
      </c>
      <c r="AI15" s="38"/>
      <c r="AJ15" s="21">
        <f>IF(AN15=0,L15,0)</f>
        <v>0</v>
      </c>
      <c r="AK15" s="21">
        <f>IF(AN15=15,L15,0)</f>
        <v>0</v>
      </c>
      <c r="AL15" s="21">
        <f>IF(AN15=21,L15,0)</f>
        <v>0</v>
      </c>
      <c r="AN15" s="39">
        <v>15</v>
      </c>
      <c r="AO15" s="39">
        <f>I15*0.163263428051412</f>
        <v>0</v>
      </c>
      <c r="AP15" s="39">
        <f>I15*(1-0.163263428051412)</f>
        <v>0</v>
      </c>
      <c r="AQ15" s="40" t="s">
        <v>7</v>
      </c>
      <c r="AV15" s="39">
        <f>AW15+AX15</f>
        <v>0</v>
      </c>
      <c r="AW15" s="39">
        <f>H15*AO15</f>
        <v>0</v>
      </c>
      <c r="AX15" s="39">
        <f>H15*AP15</f>
        <v>0</v>
      </c>
      <c r="AY15" s="42" t="s">
        <v>113</v>
      </c>
      <c r="AZ15" s="42" t="s">
        <v>120</v>
      </c>
      <c r="BA15" s="38" t="s">
        <v>124</v>
      </c>
      <c r="BC15" s="39">
        <f>AW15+AX15</f>
        <v>0</v>
      </c>
      <c r="BD15" s="39">
        <f>I15/(100-BE15)*100</f>
        <v>0</v>
      </c>
      <c r="BE15" s="39">
        <v>0</v>
      </c>
      <c r="BF15" s="39">
        <f>15</f>
        <v>15</v>
      </c>
      <c r="BH15" s="21">
        <f>H15*AO15</f>
        <v>0</v>
      </c>
      <c r="BI15" s="21">
        <f>H15*AP15</f>
        <v>0</v>
      </c>
      <c r="BJ15" s="21">
        <f>H15*I15</f>
        <v>0</v>
      </c>
      <c r="BK15" s="21" t="s">
        <v>129</v>
      </c>
      <c r="BL15" s="39">
        <v>61</v>
      </c>
    </row>
    <row r="16" spans="1:47" ht="12.75">
      <c r="A16" s="5"/>
      <c r="B16" s="14" t="s">
        <v>30</v>
      </c>
      <c r="C16" s="109" t="s">
        <v>56</v>
      </c>
      <c r="D16" s="110"/>
      <c r="E16" s="110"/>
      <c r="F16" s="110"/>
      <c r="G16" s="19" t="s">
        <v>6</v>
      </c>
      <c r="H16" s="19" t="s">
        <v>6</v>
      </c>
      <c r="I16" s="19" t="s">
        <v>6</v>
      </c>
      <c r="J16" s="45">
        <f>SUM(J17:J17)</f>
        <v>0</v>
      </c>
      <c r="K16" s="45">
        <f>SUM(K17:K17)</f>
        <v>0</v>
      </c>
      <c r="L16" s="45">
        <f>SUM(L17:L17)</f>
        <v>0</v>
      </c>
      <c r="M16" s="33"/>
      <c r="N16" s="36"/>
      <c r="AI16" s="38"/>
      <c r="AS16" s="45">
        <f>SUM(AJ17:AJ17)</f>
        <v>0</v>
      </c>
      <c r="AT16" s="45">
        <f>SUM(AK17:AK17)</f>
        <v>0</v>
      </c>
      <c r="AU16" s="45">
        <f>SUM(AL17:AL17)</f>
        <v>0</v>
      </c>
    </row>
    <row r="17" spans="1:64" ht="12.75">
      <c r="A17" s="4" t="s">
        <v>9</v>
      </c>
      <c r="B17" s="13" t="s">
        <v>31</v>
      </c>
      <c r="C17" s="107" t="s">
        <v>57</v>
      </c>
      <c r="D17" s="108"/>
      <c r="E17" s="108"/>
      <c r="F17" s="108"/>
      <c r="G17" s="13" t="s">
        <v>83</v>
      </c>
      <c r="H17" s="21">
        <v>9</v>
      </c>
      <c r="I17" s="21">
        <v>0</v>
      </c>
      <c r="J17" s="21">
        <f>H17*AO17</f>
        <v>0</v>
      </c>
      <c r="K17" s="21">
        <f>H17*AP17</f>
        <v>0</v>
      </c>
      <c r="L17" s="21">
        <f>H17*I17</f>
        <v>0</v>
      </c>
      <c r="M17" s="32" t="s">
        <v>102</v>
      </c>
      <c r="N17" s="36"/>
      <c r="Z17" s="39">
        <f>IF(AQ17="5",BJ17,0)</f>
        <v>0</v>
      </c>
      <c r="AB17" s="39">
        <f>IF(AQ17="1",BH17,0)</f>
        <v>0</v>
      </c>
      <c r="AC17" s="39">
        <f>IF(AQ17="1",BI17,0)</f>
        <v>0</v>
      </c>
      <c r="AD17" s="39">
        <f>IF(AQ17="7",BH17,0)</f>
        <v>0</v>
      </c>
      <c r="AE17" s="39">
        <f>IF(AQ17="7",BI17,0)</f>
        <v>0</v>
      </c>
      <c r="AF17" s="39">
        <f>IF(AQ17="2",BH17,0)</f>
        <v>0</v>
      </c>
      <c r="AG17" s="39">
        <f>IF(AQ17="2",BI17,0)</f>
        <v>0</v>
      </c>
      <c r="AH17" s="39">
        <f>IF(AQ17="0",BJ17,0)</f>
        <v>0</v>
      </c>
      <c r="AI17" s="38"/>
      <c r="AJ17" s="21">
        <f>IF(AN17=0,L17,0)</f>
        <v>0</v>
      </c>
      <c r="AK17" s="21">
        <f>IF(AN17=15,L17,0)</f>
        <v>0</v>
      </c>
      <c r="AL17" s="21">
        <f>IF(AN17=21,L17,0)</f>
        <v>0</v>
      </c>
      <c r="AN17" s="39">
        <v>15</v>
      </c>
      <c r="AO17" s="39">
        <f>I17*0.310470502952817</f>
        <v>0</v>
      </c>
      <c r="AP17" s="39">
        <f>I17*(1-0.310470502952817)</f>
        <v>0</v>
      </c>
      <c r="AQ17" s="40" t="s">
        <v>7</v>
      </c>
      <c r="AV17" s="39">
        <f>AW17+AX17</f>
        <v>0</v>
      </c>
      <c r="AW17" s="39">
        <f>H17*AO17</f>
        <v>0</v>
      </c>
      <c r="AX17" s="39">
        <f>H17*AP17</f>
        <v>0</v>
      </c>
      <c r="AY17" s="42" t="s">
        <v>114</v>
      </c>
      <c r="AZ17" s="42" t="s">
        <v>120</v>
      </c>
      <c r="BA17" s="38" t="s">
        <v>124</v>
      </c>
      <c r="BC17" s="39">
        <f>AW17+AX17</f>
        <v>0</v>
      </c>
      <c r="BD17" s="39">
        <f>I17/(100-BE17)*100</f>
        <v>0</v>
      </c>
      <c r="BE17" s="39">
        <v>0</v>
      </c>
      <c r="BF17" s="39">
        <f>17</f>
        <v>17</v>
      </c>
      <c r="BH17" s="21">
        <f>H17*AO17</f>
        <v>0</v>
      </c>
      <c r="BI17" s="21">
        <f>H17*AP17</f>
        <v>0</v>
      </c>
      <c r="BJ17" s="21">
        <f>H17*I17</f>
        <v>0</v>
      </c>
      <c r="BK17" s="21" t="s">
        <v>129</v>
      </c>
      <c r="BL17" s="39">
        <v>64</v>
      </c>
    </row>
    <row r="18" spans="1:47" ht="12.75">
      <c r="A18" s="5"/>
      <c r="B18" s="14" t="s">
        <v>32</v>
      </c>
      <c r="C18" s="109" t="s">
        <v>58</v>
      </c>
      <c r="D18" s="110"/>
      <c r="E18" s="110"/>
      <c r="F18" s="110"/>
      <c r="G18" s="19" t="s">
        <v>6</v>
      </c>
      <c r="H18" s="19" t="s">
        <v>6</v>
      </c>
      <c r="I18" s="19" t="s">
        <v>6</v>
      </c>
      <c r="J18" s="45">
        <f>SUM(J19:J20)</f>
        <v>0</v>
      </c>
      <c r="K18" s="45">
        <f>SUM(K19:K20)</f>
        <v>0</v>
      </c>
      <c r="L18" s="45">
        <f>SUM(L19:L20)</f>
        <v>0</v>
      </c>
      <c r="M18" s="33"/>
      <c r="N18" s="36"/>
      <c r="AI18" s="38"/>
      <c r="AS18" s="45">
        <f>SUM(AJ19:AJ20)</f>
        <v>0</v>
      </c>
      <c r="AT18" s="45">
        <f>SUM(AK19:AK20)</f>
        <v>0</v>
      </c>
      <c r="AU18" s="45">
        <f>SUM(AL19:AL20)</f>
        <v>0</v>
      </c>
    </row>
    <row r="19" spans="1:64" ht="12.75">
      <c r="A19" s="4" t="s">
        <v>10</v>
      </c>
      <c r="B19" s="13" t="s">
        <v>33</v>
      </c>
      <c r="C19" s="107" t="s">
        <v>59</v>
      </c>
      <c r="D19" s="108"/>
      <c r="E19" s="108"/>
      <c r="F19" s="108"/>
      <c r="G19" s="13" t="s">
        <v>82</v>
      </c>
      <c r="H19" s="21">
        <v>124.74</v>
      </c>
      <c r="I19" s="21">
        <v>0</v>
      </c>
      <c r="J19" s="21">
        <f>H19*AO19</f>
        <v>0</v>
      </c>
      <c r="K19" s="21">
        <f>H19*AP19</f>
        <v>0</v>
      </c>
      <c r="L19" s="21">
        <f>H19*I19</f>
        <v>0</v>
      </c>
      <c r="M19" s="32" t="s">
        <v>102</v>
      </c>
      <c r="N19" s="36"/>
      <c r="Z19" s="39">
        <f>IF(AQ19="5",BJ19,0)</f>
        <v>0</v>
      </c>
      <c r="AB19" s="39">
        <f>IF(AQ19="1",BH19,0)</f>
        <v>0</v>
      </c>
      <c r="AC19" s="39">
        <f>IF(AQ19="1",BI19,0)</f>
        <v>0</v>
      </c>
      <c r="AD19" s="39">
        <f>IF(AQ19="7",BH19,0)</f>
        <v>0</v>
      </c>
      <c r="AE19" s="39">
        <f>IF(AQ19="7",BI19,0)</f>
        <v>0</v>
      </c>
      <c r="AF19" s="39">
        <f>IF(AQ19="2",BH19,0)</f>
        <v>0</v>
      </c>
      <c r="AG19" s="39">
        <f>IF(AQ19="2",BI19,0)</f>
        <v>0</v>
      </c>
      <c r="AH19" s="39">
        <f>IF(AQ19="0",BJ19,0)</f>
        <v>0</v>
      </c>
      <c r="AI19" s="38"/>
      <c r="AJ19" s="21">
        <f>IF(AN19=0,L19,0)</f>
        <v>0</v>
      </c>
      <c r="AK19" s="21">
        <f>IF(AN19=15,L19,0)</f>
        <v>0</v>
      </c>
      <c r="AL19" s="21">
        <f>IF(AN19=21,L19,0)</f>
        <v>0</v>
      </c>
      <c r="AN19" s="39">
        <v>15</v>
      </c>
      <c r="AO19" s="39">
        <f>I19*0.628528951486698</f>
        <v>0</v>
      </c>
      <c r="AP19" s="39">
        <f>I19*(1-0.628528951486698)</f>
        <v>0</v>
      </c>
      <c r="AQ19" s="40" t="s">
        <v>13</v>
      </c>
      <c r="AV19" s="39">
        <f>AW19+AX19</f>
        <v>0</v>
      </c>
      <c r="AW19" s="39">
        <f>H19*AO19</f>
        <v>0</v>
      </c>
      <c r="AX19" s="39">
        <f>H19*AP19</f>
        <v>0</v>
      </c>
      <c r="AY19" s="42" t="s">
        <v>115</v>
      </c>
      <c r="AZ19" s="42" t="s">
        <v>121</v>
      </c>
      <c r="BA19" s="38" t="s">
        <v>124</v>
      </c>
      <c r="BC19" s="39">
        <f>AW19+AX19</f>
        <v>0</v>
      </c>
      <c r="BD19" s="39">
        <f>I19/(100-BE19)*100</f>
        <v>0</v>
      </c>
      <c r="BE19" s="39">
        <v>0</v>
      </c>
      <c r="BF19" s="39">
        <f>19</f>
        <v>19</v>
      </c>
      <c r="BH19" s="21">
        <f>H19*AO19</f>
        <v>0</v>
      </c>
      <c r="BI19" s="21">
        <f>H19*AP19</f>
        <v>0</v>
      </c>
      <c r="BJ19" s="21">
        <f>H19*I19</f>
        <v>0</v>
      </c>
      <c r="BK19" s="21" t="s">
        <v>129</v>
      </c>
      <c r="BL19" s="39">
        <v>767</v>
      </c>
    </row>
    <row r="20" spans="1:64" ht="12.75">
      <c r="A20" s="4" t="s">
        <v>11</v>
      </c>
      <c r="B20" s="13" t="s">
        <v>34</v>
      </c>
      <c r="C20" s="107" t="s">
        <v>60</v>
      </c>
      <c r="D20" s="108"/>
      <c r="E20" s="108"/>
      <c r="F20" s="108"/>
      <c r="G20" s="13" t="s">
        <v>82</v>
      </c>
      <c r="H20" s="21">
        <v>124.74</v>
      </c>
      <c r="I20" s="21">
        <v>0</v>
      </c>
      <c r="J20" s="21">
        <f>H20*AO20</f>
        <v>0</v>
      </c>
      <c r="K20" s="21">
        <f>H20*AP20</f>
        <v>0</v>
      </c>
      <c r="L20" s="21">
        <f>H20*I20</f>
        <v>0</v>
      </c>
      <c r="M20" s="32" t="s">
        <v>102</v>
      </c>
      <c r="N20" s="36"/>
      <c r="Z20" s="39">
        <f>IF(AQ20="5",BJ20,0)</f>
        <v>0</v>
      </c>
      <c r="AB20" s="39">
        <f>IF(AQ20="1",BH20,0)</f>
        <v>0</v>
      </c>
      <c r="AC20" s="39">
        <f>IF(AQ20="1",BI20,0)</f>
        <v>0</v>
      </c>
      <c r="AD20" s="39">
        <f>IF(AQ20="7",BH20,0)</f>
        <v>0</v>
      </c>
      <c r="AE20" s="39">
        <f>IF(AQ20="7",BI20,0)</f>
        <v>0</v>
      </c>
      <c r="AF20" s="39">
        <f>IF(AQ20="2",BH20,0)</f>
        <v>0</v>
      </c>
      <c r="AG20" s="39">
        <f>IF(AQ20="2",BI20,0)</f>
        <v>0</v>
      </c>
      <c r="AH20" s="39">
        <f>IF(AQ20="0",BJ20,0)</f>
        <v>0</v>
      </c>
      <c r="AI20" s="38"/>
      <c r="AJ20" s="21">
        <f>IF(AN20=0,L20,0)</f>
        <v>0</v>
      </c>
      <c r="AK20" s="21">
        <f>IF(AN20=15,L20,0)</f>
        <v>0</v>
      </c>
      <c r="AL20" s="21">
        <f>IF(AN20=21,L20,0)</f>
        <v>0</v>
      </c>
      <c r="AN20" s="39">
        <v>15</v>
      </c>
      <c r="AO20" s="39">
        <f>I20*0.366835748792271</f>
        <v>0</v>
      </c>
      <c r="AP20" s="39">
        <f>I20*(1-0.366835748792271)</f>
        <v>0</v>
      </c>
      <c r="AQ20" s="40" t="s">
        <v>13</v>
      </c>
      <c r="AV20" s="39">
        <f>AW20+AX20</f>
        <v>0</v>
      </c>
      <c r="AW20" s="39">
        <f>H20*AO20</f>
        <v>0</v>
      </c>
      <c r="AX20" s="39">
        <f>H20*AP20</f>
        <v>0</v>
      </c>
      <c r="AY20" s="42" t="s">
        <v>115</v>
      </c>
      <c r="AZ20" s="42" t="s">
        <v>121</v>
      </c>
      <c r="BA20" s="38" t="s">
        <v>124</v>
      </c>
      <c r="BC20" s="39">
        <f>AW20+AX20</f>
        <v>0</v>
      </c>
      <c r="BD20" s="39">
        <f>I20/(100-BE20)*100</f>
        <v>0</v>
      </c>
      <c r="BE20" s="39">
        <v>0</v>
      </c>
      <c r="BF20" s="39">
        <f>20</f>
        <v>20</v>
      </c>
      <c r="BH20" s="21">
        <f>H20*AO20</f>
        <v>0</v>
      </c>
      <c r="BI20" s="21">
        <f>H20*AP20</f>
        <v>0</v>
      </c>
      <c r="BJ20" s="21">
        <f>H20*I20</f>
        <v>0</v>
      </c>
      <c r="BK20" s="21" t="s">
        <v>129</v>
      </c>
      <c r="BL20" s="39">
        <v>767</v>
      </c>
    </row>
    <row r="21" spans="1:47" ht="12.75">
      <c r="A21" s="5"/>
      <c r="B21" s="14" t="s">
        <v>35</v>
      </c>
      <c r="C21" s="109" t="s">
        <v>61</v>
      </c>
      <c r="D21" s="110"/>
      <c r="E21" s="110"/>
      <c r="F21" s="110"/>
      <c r="G21" s="19" t="s">
        <v>6</v>
      </c>
      <c r="H21" s="19" t="s">
        <v>6</v>
      </c>
      <c r="I21" s="19" t="s">
        <v>6</v>
      </c>
      <c r="J21" s="45">
        <f>SUM(J22:J27)</f>
        <v>0</v>
      </c>
      <c r="K21" s="45">
        <f>SUM(K22:K27)</f>
        <v>0</v>
      </c>
      <c r="L21" s="45">
        <f>SUM(L22:L27)</f>
        <v>0</v>
      </c>
      <c r="M21" s="33"/>
      <c r="N21" s="36"/>
      <c r="AI21" s="38"/>
      <c r="AS21" s="45">
        <f>SUM(AJ22:AJ27)</f>
        <v>0</v>
      </c>
      <c r="AT21" s="45">
        <f>SUM(AK22:AK27)</f>
        <v>0</v>
      </c>
      <c r="AU21" s="45">
        <f>SUM(AL22:AL27)</f>
        <v>0</v>
      </c>
    </row>
    <row r="22" spans="1:64" ht="12.75">
      <c r="A22" s="4" t="s">
        <v>12</v>
      </c>
      <c r="B22" s="13" t="s">
        <v>36</v>
      </c>
      <c r="C22" s="107" t="s">
        <v>62</v>
      </c>
      <c r="D22" s="108"/>
      <c r="E22" s="108"/>
      <c r="F22" s="108"/>
      <c r="G22" s="13" t="s">
        <v>82</v>
      </c>
      <c r="H22" s="21">
        <v>145.96</v>
      </c>
      <c r="I22" s="21">
        <v>0</v>
      </c>
      <c r="J22" s="21">
        <f aca="true" t="shared" si="0" ref="J22:J27">H22*AO22</f>
        <v>0</v>
      </c>
      <c r="K22" s="21">
        <f aca="true" t="shared" si="1" ref="K22:K27">H22*AP22</f>
        <v>0</v>
      </c>
      <c r="L22" s="21">
        <f aca="true" t="shared" si="2" ref="L22:L27">H22*I22</f>
        <v>0</v>
      </c>
      <c r="M22" s="32" t="s">
        <v>102</v>
      </c>
      <c r="N22" s="36"/>
      <c r="Z22" s="39">
        <f aca="true" t="shared" si="3" ref="Z22:Z27">IF(AQ22="5",BJ22,0)</f>
        <v>0</v>
      </c>
      <c r="AB22" s="39">
        <f aca="true" t="shared" si="4" ref="AB22:AB27">IF(AQ22="1",BH22,0)</f>
        <v>0</v>
      </c>
      <c r="AC22" s="39">
        <f aca="true" t="shared" si="5" ref="AC22:AC27">IF(AQ22="1",BI22,0)</f>
        <v>0</v>
      </c>
      <c r="AD22" s="39">
        <f aca="true" t="shared" si="6" ref="AD22:AD27">IF(AQ22="7",BH22,0)</f>
        <v>0</v>
      </c>
      <c r="AE22" s="39">
        <f aca="true" t="shared" si="7" ref="AE22:AE27">IF(AQ22="7",BI22,0)</f>
        <v>0</v>
      </c>
      <c r="AF22" s="39">
        <f aca="true" t="shared" si="8" ref="AF22:AF27">IF(AQ22="2",BH22,0)</f>
        <v>0</v>
      </c>
      <c r="AG22" s="39">
        <f aca="true" t="shared" si="9" ref="AG22:AG27">IF(AQ22="2",BI22,0)</f>
        <v>0</v>
      </c>
      <c r="AH22" s="39">
        <f aca="true" t="shared" si="10" ref="AH22:AH27">IF(AQ22="0",BJ22,0)</f>
        <v>0</v>
      </c>
      <c r="AI22" s="38"/>
      <c r="AJ22" s="21">
        <f aca="true" t="shared" si="11" ref="AJ22:AJ27">IF(AN22=0,L22,0)</f>
        <v>0</v>
      </c>
      <c r="AK22" s="21">
        <f aca="true" t="shared" si="12" ref="AK22:AK27">IF(AN22=15,L22,0)</f>
        <v>0</v>
      </c>
      <c r="AL22" s="21">
        <f aca="true" t="shared" si="13" ref="AL22:AL27">IF(AN22=21,L22,0)</f>
        <v>0</v>
      </c>
      <c r="AN22" s="39">
        <v>15</v>
      </c>
      <c r="AO22" s="39">
        <f>I22*0</f>
        <v>0</v>
      </c>
      <c r="AP22" s="39">
        <f>I22*(1-0)</f>
        <v>0</v>
      </c>
      <c r="AQ22" s="40" t="s">
        <v>13</v>
      </c>
      <c r="AV22" s="39">
        <f aca="true" t="shared" si="14" ref="AV22:AV27">AW22+AX22</f>
        <v>0</v>
      </c>
      <c r="AW22" s="39">
        <f aca="true" t="shared" si="15" ref="AW22:AW27">H22*AO22</f>
        <v>0</v>
      </c>
      <c r="AX22" s="39">
        <f aca="true" t="shared" si="16" ref="AX22:AX27">H22*AP22</f>
        <v>0</v>
      </c>
      <c r="AY22" s="42" t="s">
        <v>116</v>
      </c>
      <c r="AZ22" s="42" t="s">
        <v>122</v>
      </c>
      <c r="BA22" s="38" t="s">
        <v>124</v>
      </c>
      <c r="BC22" s="39">
        <f aca="true" t="shared" si="17" ref="BC22:BC27">AW22+AX22</f>
        <v>0</v>
      </c>
      <c r="BD22" s="39">
        <f aca="true" t="shared" si="18" ref="BD22:BD27">I22/(100-BE22)*100</f>
        <v>0</v>
      </c>
      <c r="BE22" s="39">
        <v>0</v>
      </c>
      <c r="BF22" s="39">
        <f>22</f>
        <v>22</v>
      </c>
      <c r="BH22" s="21">
        <f aca="true" t="shared" si="19" ref="BH22:BH27">H22*AO22</f>
        <v>0</v>
      </c>
      <c r="BI22" s="21">
        <f aca="true" t="shared" si="20" ref="BI22:BI27">H22*AP22</f>
        <v>0</v>
      </c>
      <c r="BJ22" s="21">
        <f aca="true" t="shared" si="21" ref="BJ22:BJ27">H22*I22</f>
        <v>0</v>
      </c>
      <c r="BK22" s="21" t="s">
        <v>129</v>
      </c>
      <c r="BL22" s="39">
        <v>784</v>
      </c>
    </row>
    <row r="23" spans="1:64" ht="12.75">
      <c r="A23" s="6" t="s">
        <v>13</v>
      </c>
      <c r="B23" s="15" t="s">
        <v>37</v>
      </c>
      <c r="C23" s="111" t="s">
        <v>63</v>
      </c>
      <c r="D23" s="112"/>
      <c r="E23" s="112"/>
      <c r="F23" s="112"/>
      <c r="G23" s="15" t="s">
        <v>82</v>
      </c>
      <c r="H23" s="22">
        <v>145.96</v>
      </c>
      <c r="I23" s="22">
        <v>0</v>
      </c>
      <c r="J23" s="22">
        <f t="shared" si="0"/>
        <v>0</v>
      </c>
      <c r="K23" s="22">
        <f t="shared" si="1"/>
        <v>0</v>
      </c>
      <c r="L23" s="22">
        <f t="shared" si="2"/>
        <v>0</v>
      </c>
      <c r="M23" s="34" t="s">
        <v>102</v>
      </c>
      <c r="N23" s="36"/>
      <c r="Z23" s="39">
        <f t="shared" si="3"/>
        <v>0</v>
      </c>
      <c r="AB23" s="39">
        <f t="shared" si="4"/>
        <v>0</v>
      </c>
      <c r="AC23" s="39">
        <f t="shared" si="5"/>
        <v>0</v>
      </c>
      <c r="AD23" s="39">
        <f t="shared" si="6"/>
        <v>0</v>
      </c>
      <c r="AE23" s="39">
        <f t="shared" si="7"/>
        <v>0</v>
      </c>
      <c r="AF23" s="39">
        <f t="shared" si="8"/>
        <v>0</v>
      </c>
      <c r="AG23" s="39">
        <f t="shared" si="9"/>
        <v>0</v>
      </c>
      <c r="AH23" s="39">
        <f t="shared" si="10"/>
        <v>0</v>
      </c>
      <c r="AI23" s="38"/>
      <c r="AJ23" s="22">
        <f t="shared" si="11"/>
        <v>0</v>
      </c>
      <c r="AK23" s="22">
        <f t="shared" si="12"/>
        <v>0</v>
      </c>
      <c r="AL23" s="22">
        <f t="shared" si="13"/>
        <v>0</v>
      </c>
      <c r="AN23" s="39">
        <v>15</v>
      </c>
      <c r="AO23" s="39">
        <f>I23*1</f>
        <v>0</v>
      </c>
      <c r="AP23" s="39">
        <f>I23*(1-1)</f>
        <v>0</v>
      </c>
      <c r="AQ23" s="41" t="s">
        <v>13</v>
      </c>
      <c r="AV23" s="39">
        <f t="shared" si="14"/>
        <v>0</v>
      </c>
      <c r="AW23" s="39">
        <f t="shared" si="15"/>
        <v>0</v>
      </c>
      <c r="AX23" s="39">
        <f t="shared" si="16"/>
        <v>0</v>
      </c>
      <c r="AY23" s="42" t="s">
        <v>116</v>
      </c>
      <c r="AZ23" s="42" t="s">
        <v>122</v>
      </c>
      <c r="BA23" s="38" t="s">
        <v>124</v>
      </c>
      <c r="BC23" s="39">
        <f t="shared" si="17"/>
        <v>0</v>
      </c>
      <c r="BD23" s="39">
        <f t="shared" si="18"/>
        <v>0</v>
      </c>
      <c r="BE23" s="39">
        <v>0</v>
      </c>
      <c r="BF23" s="39">
        <f>23</f>
        <v>23</v>
      </c>
      <c r="BH23" s="22">
        <f t="shared" si="19"/>
        <v>0</v>
      </c>
      <c r="BI23" s="22">
        <f t="shared" si="20"/>
        <v>0</v>
      </c>
      <c r="BJ23" s="22">
        <f t="shared" si="21"/>
        <v>0</v>
      </c>
      <c r="BK23" s="22" t="s">
        <v>130</v>
      </c>
      <c r="BL23" s="39">
        <v>784</v>
      </c>
    </row>
    <row r="24" spans="1:64" ht="12.75">
      <c r="A24" s="4" t="s">
        <v>14</v>
      </c>
      <c r="B24" s="13" t="s">
        <v>38</v>
      </c>
      <c r="C24" s="107" t="s">
        <v>64</v>
      </c>
      <c r="D24" s="108"/>
      <c r="E24" s="108"/>
      <c r="F24" s="108"/>
      <c r="G24" s="13" t="s">
        <v>82</v>
      </c>
      <c r="H24" s="21">
        <v>386.441</v>
      </c>
      <c r="I24" s="21">
        <v>0</v>
      </c>
      <c r="J24" s="21">
        <f t="shared" si="0"/>
        <v>0</v>
      </c>
      <c r="K24" s="21">
        <f t="shared" si="1"/>
        <v>0</v>
      </c>
      <c r="L24" s="21">
        <f t="shared" si="2"/>
        <v>0</v>
      </c>
      <c r="M24" s="32" t="s">
        <v>102</v>
      </c>
      <c r="N24" s="36"/>
      <c r="Z24" s="39">
        <f t="shared" si="3"/>
        <v>0</v>
      </c>
      <c r="AB24" s="39">
        <f t="shared" si="4"/>
        <v>0</v>
      </c>
      <c r="AC24" s="39">
        <f t="shared" si="5"/>
        <v>0</v>
      </c>
      <c r="AD24" s="39">
        <f t="shared" si="6"/>
        <v>0</v>
      </c>
      <c r="AE24" s="39">
        <f t="shared" si="7"/>
        <v>0</v>
      </c>
      <c r="AF24" s="39">
        <f t="shared" si="8"/>
        <v>0</v>
      </c>
      <c r="AG24" s="39">
        <f t="shared" si="9"/>
        <v>0</v>
      </c>
      <c r="AH24" s="39">
        <f t="shared" si="10"/>
        <v>0</v>
      </c>
      <c r="AI24" s="38"/>
      <c r="AJ24" s="21">
        <f t="shared" si="11"/>
        <v>0</v>
      </c>
      <c r="AK24" s="21">
        <f t="shared" si="12"/>
        <v>0</v>
      </c>
      <c r="AL24" s="21">
        <f t="shared" si="13"/>
        <v>0</v>
      </c>
      <c r="AN24" s="39">
        <v>15</v>
      </c>
      <c r="AO24" s="39">
        <f>I24*0.279824713847132</f>
        <v>0</v>
      </c>
      <c r="AP24" s="39">
        <f>I24*(1-0.279824713847132)</f>
        <v>0</v>
      </c>
      <c r="AQ24" s="40" t="s">
        <v>13</v>
      </c>
      <c r="AV24" s="39">
        <f t="shared" si="14"/>
        <v>0</v>
      </c>
      <c r="AW24" s="39">
        <f t="shared" si="15"/>
        <v>0</v>
      </c>
      <c r="AX24" s="39">
        <f t="shared" si="16"/>
        <v>0</v>
      </c>
      <c r="AY24" s="42" t="s">
        <v>116</v>
      </c>
      <c r="AZ24" s="42" t="s">
        <v>122</v>
      </c>
      <c r="BA24" s="38" t="s">
        <v>124</v>
      </c>
      <c r="BC24" s="39">
        <f t="shared" si="17"/>
        <v>0</v>
      </c>
      <c r="BD24" s="39">
        <f t="shared" si="18"/>
        <v>0</v>
      </c>
      <c r="BE24" s="39">
        <v>0</v>
      </c>
      <c r="BF24" s="39">
        <f>24</f>
        <v>24</v>
      </c>
      <c r="BH24" s="21">
        <f t="shared" si="19"/>
        <v>0</v>
      </c>
      <c r="BI24" s="21">
        <f t="shared" si="20"/>
        <v>0</v>
      </c>
      <c r="BJ24" s="21">
        <f t="shared" si="21"/>
        <v>0</v>
      </c>
      <c r="BK24" s="21" t="s">
        <v>129</v>
      </c>
      <c r="BL24" s="39">
        <v>784</v>
      </c>
    </row>
    <row r="25" spans="1:64" ht="12.75">
      <c r="A25" s="4" t="s">
        <v>15</v>
      </c>
      <c r="B25" s="13" t="s">
        <v>39</v>
      </c>
      <c r="C25" s="107" t="s">
        <v>65</v>
      </c>
      <c r="D25" s="108"/>
      <c r="E25" s="108"/>
      <c r="F25" s="108"/>
      <c r="G25" s="13" t="s">
        <v>82</v>
      </c>
      <c r="H25" s="21">
        <v>386.441</v>
      </c>
      <c r="I25" s="21">
        <v>0</v>
      </c>
      <c r="J25" s="21">
        <f t="shared" si="0"/>
        <v>0</v>
      </c>
      <c r="K25" s="21">
        <f t="shared" si="1"/>
        <v>0</v>
      </c>
      <c r="L25" s="21">
        <f t="shared" si="2"/>
        <v>0</v>
      </c>
      <c r="M25" s="32" t="s">
        <v>102</v>
      </c>
      <c r="N25" s="36"/>
      <c r="Z25" s="39">
        <f t="shared" si="3"/>
        <v>0</v>
      </c>
      <c r="AB25" s="39">
        <f t="shared" si="4"/>
        <v>0</v>
      </c>
      <c r="AC25" s="39">
        <f t="shared" si="5"/>
        <v>0</v>
      </c>
      <c r="AD25" s="39">
        <f t="shared" si="6"/>
        <v>0</v>
      </c>
      <c r="AE25" s="39">
        <f t="shared" si="7"/>
        <v>0</v>
      </c>
      <c r="AF25" s="39">
        <f t="shared" si="8"/>
        <v>0</v>
      </c>
      <c r="AG25" s="39">
        <f t="shared" si="9"/>
        <v>0</v>
      </c>
      <c r="AH25" s="39">
        <f t="shared" si="10"/>
        <v>0</v>
      </c>
      <c r="AI25" s="38"/>
      <c r="AJ25" s="21">
        <f t="shared" si="11"/>
        <v>0</v>
      </c>
      <c r="AK25" s="21">
        <f t="shared" si="12"/>
        <v>0</v>
      </c>
      <c r="AL25" s="21">
        <f t="shared" si="13"/>
        <v>0</v>
      </c>
      <c r="AN25" s="39">
        <v>15</v>
      </c>
      <c r="AO25" s="39">
        <f>I25*0.0757058224344555</f>
        <v>0</v>
      </c>
      <c r="AP25" s="39">
        <f>I25*(1-0.0757058224344555)</f>
        <v>0</v>
      </c>
      <c r="AQ25" s="40" t="s">
        <v>13</v>
      </c>
      <c r="AV25" s="39">
        <f t="shared" si="14"/>
        <v>0</v>
      </c>
      <c r="AW25" s="39">
        <f t="shared" si="15"/>
        <v>0</v>
      </c>
      <c r="AX25" s="39">
        <f t="shared" si="16"/>
        <v>0</v>
      </c>
      <c r="AY25" s="42" t="s">
        <v>116</v>
      </c>
      <c r="AZ25" s="42" t="s">
        <v>122</v>
      </c>
      <c r="BA25" s="38" t="s">
        <v>124</v>
      </c>
      <c r="BC25" s="39">
        <f t="shared" si="17"/>
        <v>0</v>
      </c>
      <c r="BD25" s="39">
        <f t="shared" si="18"/>
        <v>0</v>
      </c>
      <c r="BE25" s="39">
        <v>0</v>
      </c>
      <c r="BF25" s="39">
        <f>25</f>
        <v>25</v>
      </c>
      <c r="BH25" s="21">
        <f t="shared" si="19"/>
        <v>0</v>
      </c>
      <c r="BI25" s="21">
        <f t="shared" si="20"/>
        <v>0</v>
      </c>
      <c r="BJ25" s="21">
        <f t="shared" si="21"/>
        <v>0</v>
      </c>
      <c r="BK25" s="21" t="s">
        <v>129</v>
      </c>
      <c r="BL25" s="39">
        <v>784</v>
      </c>
    </row>
    <row r="26" spans="1:64" ht="12.75">
      <c r="A26" s="4" t="s">
        <v>16</v>
      </c>
      <c r="B26" s="13" t="s">
        <v>40</v>
      </c>
      <c r="C26" s="107" t="s">
        <v>66</v>
      </c>
      <c r="D26" s="108"/>
      <c r="E26" s="108"/>
      <c r="F26" s="108"/>
      <c r="G26" s="13" t="s">
        <v>82</v>
      </c>
      <c r="H26" s="21">
        <v>60.929</v>
      </c>
      <c r="I26" s="21">
        <v>0</v>
      </c>
      <c r="J26" s="21">
        <f t="shared" si="0"/>
        <v>0</v>
      </c>
      <c r="K26" s="21">
        <f t="shared" si="1"/>
        <v>0</v>
      </c>
      <c r="L26" s="21">
        <f t="shared" si="2"/>
        <v>0</v>
      </c>
      <c r="M26" s="32" t="s">
        <v>102</v>
      </c>
      <c r="N26" s="36"/>
      <c r="Z26" s="39">
        <f t="shared" si="3"/>
        <v>0</v>
      </c>
      <c r="AB26" s="39">
        <f t="shared" si="4"/>
        <v>0</v>
      </c>
      <c r="AC26" s="39">
        <f t="shared" si="5"/>
        <v>0</v>
      </c>
      <c r="AD26" s="39">
        <f t="shared" si="6"/>
        <v>0</v>
      </c>
      <c r="AE26" s="39">
        <f t="shared" si="7"/>
        <v>0</v>
      </c>
      <c r="AF26" s="39">
        <f t="shared" si="8"/>
        <v>0</v>
      </c>
      <c r="AG26" s="39">
        <f t="shared" si="9"/>
        <v>0</v>
      </c>
      <c r="AH26" s="39">
        <f t="shared" si="10"/>
        <v>0</v>
      </c>
      <c r="AI26" s="38"/>
      <c r="AJ26" s="21">
        <f t="shared" si="11"/>
        <v>0</v>
      </c>
      <c r="AK26" s="21">
        <f t="shared" si="12"/>
        <v>0</v>
      </c>
      <c r="AL26" s="21">
        <f t="shared" si="13"/>
        <v>0</v>
      </c>
      <c r="AN26" s="39">
        <v>15</v>
      </c>
      <c r="AO26" s="39">
        <f>I26*0</f>
        <v>0</v>
      </c>
      <c r="AP26" s="39">
        <f>I26*(1-0)</f>
        <v>0</v>
      </c>
      <c r="AQ26" s="40" t="s">
        <v>13</v>
      </c>
      <c r="AV26" s="39">
        <f t="shared" si="14"/>
        <v>0</v>
      </c>
      <c r="AW26" s="39">
        <f t="shared" si="15"/>
        <v>0</v>
      </c>
      <c r="AX26" s="39">
        <f t="shared" si="16"/>
        <v>0</v>
      </c>
      <c r="AY26" s="42" t="s">
        <v>116</v>
      </c>
      <c r="AZ26" s="42" t="s">
        <v>122</v>
      </c>
      <c r="BA26" s="38" t="s">
        <v>124</v>
      </c>
      <c r="BC26" s="39">
        <f t="shared" si="17"/>
        <v>0</v>
      </c>
      <c r="BD26" s="39">
        <f t="shared" si="18"/>
        <v>0</v>
      </c>
      <c r="BE26" s="39">
        <v>0</v>
      </c>
      <c r="BF26" s="39">
        <f>26</f>
        <v>26</v>
      </c>
      <c r="BH26" s="21">
        <f t="shared" si="19"/>
        <v>0</v>
      </c>
      <c r="BI26" s="21">
        <f t="shared" si="20"/>
        <v>0</v>
      </c>
      <c r="BJ26" s="21">
        <f t="shared" si="21"/>
        <v>0</v>
      </c>
      <c r="BK26" s="21" t="s">
        <v>129</v>
      </c>
      <c r="BL26" s="39">
        <v>784</v>
      </c>
    </row>
    <row r="27" spans="1:64" ht="12.75">
      <c r="A27" s="4" t="s">
        <v>17</v>
      </c>
      <c r="B27" s="13" t="s">
        <v>41</v>
      </c>
      <c r="C27" s="107" t="s">
        <v>67</v>
      </c>
      <c r="D27" s="108"/>
      <c r="E27" s="108"/>
      <c r="F27" s="108"/>
      <c r="G27" s="13" t="s">
        <v>82</v>
      </c>
      <c r="H27" s="21">
        <v>386.441</v>
      </c>
      <c r="I27" s="21">
        <v>0</v>
      </c>
      <c r="J27" s="21">
        <f t="shared" si="0"/>
        <v>0</v>
      </c>
      <c r="K27" s="21">
        <f t="shared" si="1"/>
        <v>0</v>
      </c>
      <c r="L27" s="21">
        <f t="shared" si="2"/>
        <v>0</v>
      </c>
      <c r="M27" s="32"/>
      <c r="N27" s="36"/>
      <c r="Z27" s="39">
        <f t="shared" si="3"/>
        <v>0</v>
      </c>
      <c r="AB27" s="39">
        <f t="shared" si="4"/>
        <v>0</v>
      </c>
      <c r="AC27" s="39">
        <f t="shared" si="5"/>
        <v>0</v>
      </c>
      <c r="AD27" s="39">
        <f t="shared" si="6"/>
        <v>0</v>
      </c>
      <c r="AE27" s="39">
        <f t="shared" si="7"/>
        <v>0</v>
      </c>
      <c r="AF27" s="39">
        <f t="shared" si="8"/>
        <v>0</v>
      </c>
      <c r="AG27" s="39">
        <f t="shared" si="9"/>
        <v>0</v>
      </c>
      <c r="AH27" s="39">
        <f t="shared" si="10"/>
        <v>0</v>
      </c>
      <c r="AI27" s="38"/>
      <c r="AJ27" s="21">
        <f t="shared" si="11"/>
        <v>0</v>
      </c>
      <c r="AK27" s="21">
        <f t="shared" si="12"/>
        <v>0</v>
      </c>
      <c r="AL27" s="21">
        <f t="shared" si="13"/>
        <v>0</v>
      </c>
      <c r="AN27" s="39">
        <v>15</v>
      </c>
      <c r="AO27" s="39">
        <f>I27*0.202921784682081</f>
        <v>0</v>
      </c>
      <c r="AP27" s="39">
        <f>I27*(1-0.202921784682081)</f>
        <v>0</v>
      </c>
      <c r="AQ27" s="40" t="s">
        <v>13</v>
      </c>
      <c r="AV27" s="39">
        <f t="shared" si="14"/>
        <v>0</v>
      </c>
      <c r="AW27" s="39">
        <f t="shared" si="15"/>
        <v>0</v>
      </c>
      <c r="AX27" s="39">
        <f t="shared" si="16"/>
        <v>0</v>
      </c>
      <c r="AY27" s="42" t="s">
        <v>116</v>
      </c>
      <c r="AZ27" s="42" t="s">
        <v>122</v>
      </c>
      <c r="BA27" s="38" t="s">
        <v>124</v>
      </c>
      <c r="BC27" s="39">
        <f t="shared" si="17"/>
        <v>0</v>
      </c>
      <c r="BD27" s="39">
        <f t="shared" si="18"/>
        <v>0</v>
      </c>
      <c r="BE27" s="39">
        <v>0</v>
      </c>
      <c r="BF27" s="39">
        <f>27</f>
        <v>27</v>
      </c>
      <c r="BH27" s="21">
        <f t="shared" si="19"/>
        <v>0</v>
      </c>
      <c r="BI27" s="21">
        <f t="shared" si="20"/>
        <v>0</v>
      </c>
      <c r="BJ27" s="21">
        <f t="shared" si="21"/>
        <v>0</v>
      </c>
      <c r="BK27" s="21" t="s">
        <v>129</v>
      </c>
      <c r="BL27" s="39">
        <v>784</v>
      </c>
    </row>
    <row r="28" spans="1:47" ht="12.75">
      <c r="A28" s="5"/>
      <c r="B28" s="14" t="s">
        <v>42</v>
      </c>
      <c r="C28" s="109" t="s">
        <v>68</v>
      </c>
      <c r="D28" s="110"/>
      <c r="E28" s="110"/>
      <c r="F28" s="110"/>
      <c r="G28" s="19" t="s">
        <v>6</v>
      </c>
      <c r="H28" s="19" t="s">
        <v>6</v>
      </c>
      <c r="I28" s="19" t="s">
        <v>6</v>
      </c>
      <c r="J28" s="45">
        <f>SUM(J29:J30)</f>
        <v>0</v>
      </c>
      <c r="K28" s="45">
        <f>SUM(K29:K30)</f>
        <v>0</v>
      </c>
      <c r="L28" s="45">
        <f>SUM(L29:L30)</f>
        <v>0</v>
      </c>
      <c r="M28" s="33"/>
      <c r="N28" s="36"/>
      <c r="AI28" s="38"/>
      <c r="AS28" s="45">
        <f>SUM(AJ29:AJ30)</f>
        <v>0</v>
      </c>
      <c r="AT28" s="45">
        <f>SUM(AK29:AK30)</f>
        <v>0</v>
      </c>
      <c r="AU28" s="45">
        <f>SUM(AL29:AL30)</f>
        <v>0</v>
      </c>
    </row>
    <row r="29" spans="1:64" ht="12.75">
      <c r="A29" s="4" t="s">
        <v>18</v>
      </c>
      <c r="B29" s="13" t="s">
        <v>43</v>
      </c>
      <c r="C29" s="107" t="s">
        <v>69</v>
      </c>
      <c r="D29" s="108"/>
      <c r="E29" s="108"/>
      <c r="F29" s="108"/>
      <c r="G29" s="13" t="s">
        <v>84</v>
      </c>
      <c r="H29" s="21">
        <v>1.844</v>
      </c>
      <c r="I29" s="21">
        <v>0</v>
      </c>
      <c r="J29" s="21">
        <f>H29*AO29</f>
        <v>0</v>
      </c>
      <c r="K29" s="21">
        <f>H29*AP29</f>
        <v>0</v>
      </c>
      <c r="L29" s="21">
        <f>H29*I29</f>
        <v>0</v>
      </c>
      <c r="M29" s="32" t="s">
        <v>102</v>
      </c>
      <c r="N29" s="36"/>
      <c r="Z29" s="39">
        <f>IF(AQ29="5",BJ29,0)</f>
        <v>0</v>
      </c>
      <c r="AB29" s="39">
        <f>IF(AQ29="1",BH29,0)</f>
        <v>0</v>
      </c>
      <c r="AC29" s="39">
        <f>IF(AQ29="1",BI29,0)</f>
        <v>0</v>
      </c>
      <c r="AD29" s="39">
        <f>IF(AQ29="7",BH29,0)</f>
        <v>0</v>
      </c>
      <c r="AE29" s="39">
        <f>IF(AQ29="7",BI29,0)</f>
        <v>0</v>
      </c>
      <c r="AF29" s="39">
        <f>IF(AQ29="2",BH29,0)</f>
        <v>0</v>
      </c>
      <c r="AG29" s="39">
        <f>IF(AQ29="2",BI29,0)</f>
        <v>0</v>
      </c>
      <c r="AH29" s="39">
        <f>IF(AQ29="0",BJ29,0)</f>
        <v>0</v>
      </c>
      <c r="AI29" s="38"/>
      <c r="AJ29" s="21">
        <f>IF(AN29=0,L29,0)</f>
        <v>0</v>
      </c>
      <c r="AK29" s="21">
        <f>IF(AN29=15,L29,0)</f>
        <v>0</v>
      </c>
      <c r="AL29" s="21">
        <f>IF(AN29=21,L29,0)</f>
        <v>0</v>
      </c>
      <c r="AN29" s="39">
        <v>15</v>
      </c>
      <c r="AO29" s="39">
        <f>I29*0</f>
        <v>0</v>
      </c>
      <c r="AP29" s="39">
        <f>I29*(1-0)</f>
        <v>0</v>
      </c>
      <c r="AQ29" s="40" t="s">
        <v>11</v>
      </c>
      <c r="AV29" s="39">
        <f>AW29+AX29</f>
        <v>0</v>
      </c>
      <c r="AW29" s="39">
        <f>H29*AO29</f>
        <v>0</v>
      </c>
      <c r="AX29" s="39">
        <f>H29*AP29</f>
        <v>0</v>
      </c>
      <c r="AY29" s="42" t="s">
        <v>117</v>
      </c>
      <c r="AZ29" s="42" t="s">
        <v>123</v>
      </c>
      <c r="BA29" s="38" t="s">
        <v>124</v>
      </c>
      <c r="BC29" s="39">
        <f>AW29+AX29</f>
        <v>0</v>
      </c>
      <c r="BD29" s="39">
        <f>I29/(100-BE29)*100</f>
        <v>0</v>
      </c>
      <c r="BE29" s="39">
        <v>0</v>
      </c>
      <c r="BF29" s="39">
        <f>29</f>
        <v>29</v>
      </c>
      <c r="BH29" s="21">
        <f>H29*AO29</f>
        <v>0</v>
      </c>
      <c r="BI29" s="21">
        <f>H29*AP29</f>
        <v>0</v>
      </c>
      <c r="BJ29" s="21">
        <f>H29*I29</f>
        <v>0</v>
      </c>
      <c r="BK29" s="21" t="s">
        <v>129</v>
      </c>
      <c r="BL29" s="39" t="s">
        <v>42</v>
      </c>
    </row>
    <row r="30" spans="1:64" ht="12.75">
      <c r="A30" s="4" t="s">
        <v>19</v>
      </c>
      <c r="B30" s="13" t="s">
        <v>44</v>
      </c>
      <c r="C30" s="107" t="s">
        <v>70</v>
      </c>
      <c r="D30" s="108"/>
      <c r="E30" s="108"/>
      <c r="F30" s="108"/>
      <c r="G30" s="13" t="s">
        <v>84</v>
      </c>
      <c r="H30" s="21">
        <v>1.144</v>
      </c>
      <c r="I30" s="21">
        <v>0</v>
      </c>
      <c r="J30" s="21">
        <f>H30*AO30</f>
        <v>0</v>
      </c>
      <c r="K30" s="21">
        <f>H30*AP30</f>
        <v>0</v>
      </c>
      <c r="L30" s="21">
        <f>H30*I30</f>
        <v>0</v>
      </c>
      <c r="M30" s="32" t="s">
        <v>102</v>
      </c>
      <c r="N30" s="36"/>
      <c r="Z30" s="39">
        <f>IF(AQ30="5",BJ30,0)</f>
        <v>0</v>
      </c>
      <c r="AB30" s="39">
        <f>IF(AQ30="1",BH30,0)</f>
        <v>0</v>
      </c>
      <c r="AC30" s="39">
        <f>IF(AQ30="1",BI30,0)</f>
        <v>0</v>
      </c>
      <c r="AD30" s="39">
        <f>IF(AQ30="7",BH30,0)</f>
        <v>0</v>
      </c>
      <c r="AE30" s="39">
        <f>IF(AQ30="7",BI30,0)</f>
        <v>0</v>
      </c>
      <c r="AF30" s="39">
        <f>IF(AQ30="2",BH30,0)</f>
        <v>0</v>
      </c>
      <c r="AG30" s="39">
        <f>IF(AQ30="2",BI30,0)</f>
        <v>0</v>
      </c>
      <c r="AH30" s="39">
        <f>IF(AQ30="0",BJ30,0)</f>
        <v>0</v>
      </c>
      <c r="AI30" s="38"/>
      <c r="AJ30" s="21">
        <f>IF(AN30=0,L30,0)</f>
        <v>0</v>
      </c>
      <c r="AK30" s="21">
        <f>IF(AN30=15,L30,0)</f>
        <v>0</v>
      </c>
      <c r="AL30" s="21">
        <f>IF(AN30=21,L30,0)</f>
        <v>0</v>
      </c>
      <c r="AN30" s="39">
        <v>15</v>
      </c>
      <c r="AO30" s="39">
        <f>I30*0</f>
        <v>0</v>
      </c>
      <c r="AP30" s="39">
        <f>I30*(1-0)</f>
        <v>0</v>
      </c>
      <c r="AQ30" s="40" t="s">
        <v>11</v>
      </c>
      <c r="AV30" s="39">
        <f>AW30+AX30</f>
        <v>0</v>
      </c>
      <c r="AW30" s="39">
        <f>H30*AO30</f>
        <v>0</v>
      </c>
      <c r="AX30" s="39">
        <f>H30*AP30</f>
        <v>0</v>
      </c>
      <c r="AY30" s="42" t="s">
        <v>117</v>
      </c>
      <c r="AZ30" s="42" t="s">
        <v>123</v>
      </c>
      <c r="BA30" s="38" t="s">
        <v>124</v>
      </c>
      <c r="BC30" s="39">
        <f>AW30+AX30</f>
        <v>0</v>
      </c>
      <c r="BD30" s="39">
        <f>I30/(100-BE30)*100</f>
        <v>0</v>
      </c>
      <c r="BE30" s="39">
        <v>0</v>
      </c>
      <c r="BF30" s="39">
        <f>30</f>
        <v>30</v>
      </c>
      <c r="BH30" s="21">
        <f>H30*AO30</f>
        <v>0</v>
      </c>
      <c r="BI30" s="21">
        <f>H30*AP30</f>
        <v>0</v>
      </c>
      <c r="BJ30" s="21">
        <f>H30*I30</f>
        <v>0</v>
      </c>
      <c r="BK30" s="21" t="s">
        <v>129</v>
      </c>
      <c r="BL30" s="39" t="s">
        <v>42</v>
      </c>
    </row>
    <row r="31" spans="1:47" ht="12.75">
      <c r="A31" s="5"/>
      <c r="B31" s="14" t="s">
        <v>45</v>
      </c>
      <c r="C31" s="109" t="s">
        <v>71</v>
      </c>
      <c r="D31" s="110"/>
      <c r="E31" s="110"/>
      <c r="F31" s="110"/>
      <c r="G31" s="19" t="s">
        <v>6</v>
      </c>
      <c r="H31" s="19" t="s">
        <v>6</v>
      </c>
      <c r="I31" s="19" t="s">
        <v>6</v>
      </c>
      <c r="J31" s="45">
        <f>SUM(J32:J33)</f>
        <v>0</v>
      </c>
      <c r="K31" s="45">
        <f>SUM(K32:K33)</f>
        <v>0</v>
      </c>
      <c r="L31" s="45">
        <f>SUM(L32:L33)</f>
        <v>0</v>
      </c>
      <c r="M31" s="33"/>
      <c r="N31" s="36"/>
      <c r="AI31" s="38"/>
      <c r="AS31" s="45">
        <f>SUM(AJ32:AJ33)</f>
        <v>0</v>
      </c>
      <c r="AT31" s="45">
        <f>SUM(AK32:AK33)</f>
        <v>0</v>
      </c>
      <c r="AU31" s="45">
        <f>SUM(AL32:AL33)</f>
        <v>0</v>
      </c>
    </row>
    <row r="32" spans="1:64" ht="12.75">
      <c r="A32" s="4" t="s">
        <v>20</v>
      </c>
      <c r="B32" s="13" t="s">
        <v>46</v>
      </c>
      <c r="C32" s="107" t="s">
        <v>72</v>
      </c>
      <c r="D32" s="108"/>
      <c r="E32" s="108"/>
      <c r="F32" s="108"/>
      <c r="G32" s="13"/>
      <c r="H32" s="21">
        <v>0</v>
      </c>
      <c r="I32" s="21">
        <v>0</v>
      </c>
      <c r="J32" s="21">
        <f>H32*AO32</f>
        <v>0</v>
      </c>
      <c r="K32" s="21">
        <f>H32*AP32</f>
        <v>0</v>
      </c>
      <c r="L32" s="21">
        <f>H32*I32</f>
        <v>0</v>
      </c>
      <c r="M32" s="32"/>
      <c r="N32" s="36"/>
      <c r="Z32" s="39">
        <f>IF(AQ32="5",BJ32,0)</f>
        <v>0</v>
      </c>
      <c r="AB32" s="39">
        <f>IF(AQ32="1",BH32,0)</f>
        <v>0</v>
      </c>
      <c r="AC32" s="39">
        <f>IF(AQ32="1",BI32,0)</f>
        <v>0</v>
      </c>
      <c r="AD32" s="39">
        <f>IF(AQ32="7",BH32,0)</f>
        <v>0</v>
      </c>
      <c r="AE32" s="39">
        <f>IF(AQ32="7",BI32,0)</f>
        <v>0</v>
      </c>
      <c r="AF32" s="39">
        <f>IF(AQ32="2",BH32,0)</f>
        <v>0</v>
      </c>
      <c r="AG32" s="39">
        <f>IF(AQ32="2",BI32,0)</f>
        <v>0</v>
      </c>
      <c r="AH32" s="39">
        <f>IF(AQ32="0",BJ32,0)</f>
        <v>0</v>
      </c>
      <c r="AI32" s="38"/>
      <c r="AJ32" s="21">
        <f>IF(AN32=0,L32,0)</f>
        <v>0</v>
      </c>
      <c r="AK32" s="21">
        <f>IF(AN32=15,L32,0)</f>
        <v>0</v>
      </c>
      <c r="AL32" s="21">
        <f>IF(AN32=21,L32,0)</f>
        <v>0</v>
      </c>
      <c r="AN32" s="39">
        <v>15</v>
      </c>
      <c r="AO32" s="39">
        <f>I32*0</f>
        <v>0</v>
      </c>
      <c r="AP32" s="39">
        <f>I32*(1-0)</f>
        <v>0</v>
      </c>
      <c r="AQ32" s="40" t="s">
        <v>8</v>
      </c>
      <c r="AV32" s="39">
        <f>AW32+AX32</f>
        <v>0</v>
      </c>
      <c r="AW32" s="39">
        <f>H32*AO32</f>
        <v>0</v>
      </c>
      <c r="AX32" s="39">
        <f>H32*AP32</f>
        <v>0</v>
      </c>
      <c r="AY32" s="42" t="s">
        <v>118</v>
      </c>
      <c r="AZ32" s="42" t="s">
        <v>123</v>
      </c>
      <c r="BA32" s="38" t="s">
        <v>124</v>
      </c>
      <c r="BC32" s="39">
        <f>AW32+AX32</f>
        <v>0</v>
      </c>
      <c r="BD32" s="39">
        <f>I32/(100-BE32)*100</f>
        <v>0</v>
      </c>
      <c r="BE32" s="39">
        <v>0</v>
      </c>
      <c r="BF32" s="39">
        <f>32</f>
        <v>32</v>
      </c>
      <c r="BH32" s="21">
        <f>H32*AO32</f>
        <v>0</v>
      </c>
      <c r="BI32" s="21">
        <f>H32*AP32</f>
        <v>0</v>
      </c>
      <c r="BJ32" s="21">
        <f>H32*I32</f>
        <v>0</v>
      </c>
      <c r="BK32" s="21" t="s">
        <v>129</v>
      </c>
      <c r="BL32" s="39" t="s">
        <v>45</v>
      </c>
    </row>
    <row r="33" spans="1:64" ht="12.75">
      <c r="A33" s="4" t="s">
        <v>21</v>
      </c>
      <c r="B33" s="13"/>
      <c r="C33" s="107"/>
      <c r="D33" s="108"/>
      <c r="E33" s="108"/>
      <c r="F33" s="108"/>
      <c r="G33" s="13"/>
      <c r="H33" s="21"/>
      <c r="I33" s="21">
        <v>0</v>
      </c>
      <c r="J33" s="21">
        <f>H33*AO33</f>
        <v>0</v>
      </c>
      <c r="K33" s="21">
        <f>H33*AP33</f>
        <v>0</v>
      </c>
      <c r="L33" s="21">
        <v>0</v>
      </c>
      <c r="M33" s="32"/>
      <c r="N33" s="36"/>
      <c r="Z33" s="39">
        <f>IF(AQ33="5",BJ33,0)</f>
        <v>0</v>
      </c>
      <c r="AB33" s="39">
        <f>IF(AQ33="1",BH33,0)</f>
        <v>0</v>
      </c>
      <c r="AC33" s="39">
        <f>IF(AQ33="1",BI33,0)</f>
        <v>0</v>
      </c>
      <c r="AD33" s="39">
        <f>IF(AQ33="7",BH33,0)</f>
        <v>0</v>
      </c>
      <c r="AE33" s="39">
        <f>IF(AQ33="7",BI33,0)</f>
        <v>0</v>
      </c>
      <c r="AF33" s="39">
        <f>IF(AQ33="2",BH33,0)</f>
        <v>0</v>
      </c>
      <c r="AG33" s="39">
        <f>IF(AQ33="2",BI33,0)</f>
        <v>0</v>
      </c>
      <c r="AH33" s="39">
        <f>IF(AQ33="0",BJ33,0)</f>
        <v>0</v>
      </c>
      <c r="AI33" s="38"/>
      <c r="AJ33" s="21">
        <f>IF(AN33=0,L33,0)</f>
        <v>0</v>
      </c>
      <c r="AK33" s="21">
        <f>IF(AN33=15,L33,0)</f>
        <v>0</v>
      </c>
      <c r="AL33" s="21">
        <f>IF(AN33=21,L33,0)</f>
        <v>0</v>
      </c>
      <c r="AN33" s="39">
        <v>15</v>
      </c>
      <c r="AO33" s="39">
        <f>I33*0</f>
        <v>0</v>
      </c>
      <c r="AP33" s="39">
        <f>I33*(1-0)</f>
        <v>0</v>
      </c>
      <c r="AQ33" s="40" t="s">
        <v>8</v>
      </c>
      <c r="AV33" s="39">
        <f>AW33+AX33</f>
        <v>0</v>
      </c>
      <c r="AW33" s="39">
        <f>H33*AO33</f>
        <v>0</v>
      </c>
      <c r="AX33" s="39">
        <f>H33*AP33</f>
        <v>0</v>
      </c>
      <c r="AY33" s="42" t="s">
        <v>118</v>
      </c>
      <c r="AZ33" s="42" t="s">
        <v>123</v>
      </c>
      <c r="BA33" s="38" t="s">
        <v>124</v>
      </c>
      <c r="BC33" s="39">
        <f>AW33+AX33</f>
        <v>0</v>
      </c>
      <c r="BD33" s="39">
        <f>I33/(100-BE33)*100</f>
        <v>0</v>
      </c>
      <c r="BE33" s="39">
        <v>0</v>
      </c>
      <c r="BF33" s="39">
        <f>33</f>
        <v>33</v>
      </c>
      <c r="BH33" s="21">
        <f>H33*AO33</f>
        <v>0</v>
      </c>
      <c r="BI33" s="21">
        <f>H33*AP33</f>
        <v>0</v>
      </c>
      <c r="BJ33" s="21">
        <f>H33*I33</f>
        <v>0</v>
      </c>
      <c r="BK33" s="21" t="s">
        <v>129</v>
      </c>
      <c r="BL33" s="39" t="s">
        <v>45</v>
      </c>
    </row>
    <row r="34" spans="1:47" ht="12.75">
      <c r="A34" s="5"/>
      <c r="B34" s="14" t="s">
        <v>47</v>
      </c>
      <c r="C34" s="109" t="s">
        <v>73</v>
      </c>
      <c r="D34" s="110"/>
      <c r="E34" s="110"/>
      <c r="F34" s="110"/>
      <c r="G34" s="19" t="s">
        <v>6</v>
      </c>
      <c r="H34" s="19" t="s">
        <v>6</v>
      </c>
      <c r="I34" s="19" t="s">
        <v>6</v>
      </c>
      <c r="J34" s="45">
        <f>SUM(J35:J36)</f>
        <v>0</v>
      </c>
      <c r="K34" s="45">
        <f>SUM(K35:K36)</f>
        <v>0</v>
      </c>
      <c r="L34" s="45">
        <f>SUM(L35:L36)</f>
        <v>0</v>
      </c>
      <c r="M34" s="33"/>
      <c r="N34" s="36"/>
      <c r="AI34" s="38"/>
      <c r="AS34" s="45">
        <f>SUM(AJ35:AJ36)</f>
        <v>0</v>
      </c>
      <c r="AT34" s="45">
        <f>SUM(AK35:AK36)</f>
        <v>0</v>
      </c>
      <c r="AU34" s="45">
        <f>SUM(AL35:AL36)</f>
        <v>0</v>
      </c>
    </row>
    <row r="35" spans="1:64" ht="12.75">
      <c r="A35" s="4" t="s">
        <v>22</v>
      </c>
      <c r="B35" s="13" t="s">
        <v>48</v>
      </c>
      <c r="C35" s="107" t="s">
        <v>74</v>
      </c>
      <c r="D35" s="108"/>
      <c r="E35" s="108"/>
      <c r="F35" s="108"/>
      <c r="G35" s="13" t="s">
        <v>84</v>
      </c>
      <c r="H35" s="21">
        <v>1.144</v>
      </c>
      <c r="I35" s="21">
        <v>0</v>
      </c>
      <c r="J35" s="21">
        <f>H35*AO35</f>
        <v>0</v>
      </c>
      <c r="K35" s="21">
        <f>H35*AP35</f>
        <v>0</v>
      </c>
      <c r="L35" s="21">
        <f>H35*I35</f>
        <v>0</v>
      </c>
      <c r="M35" s="32" t="s">
        <v>102</v>
      </c>
      <c r="N35" s="36"/>
      <c r="Z35" s="39">
        <f>IF(AQ35="5",BJ35,0)</f>
        <v>0</v>
      </c>
      <c r="AB35" s="39">
        <f>IF(AQ35="1",BH35,0)</f>
        <v>0</v>
      </c>
      <c r="AC35" s="39">
        <f>IF(AQ35="1",BI35,0)</f>
        <v>0</v>
      </c>
      <c r="AD35" s="39">
        <f>IF(AQ35="7",BH35,0)</f>
        <v>0</v>
      </c>
      <c r="AE35" s="39">
        <f>IF(AQ35="7",BI35,0)</f>
        <v>0</v>
      </c>
      <c r="AF35" s="39">
        <f>IF(AQ35="2",BH35,0)</f>
        <v>0</v>
      </c>
      <c r="AG35" s="39">
        <f>IF(AQ35="2",BI35,0)</f>
        <v>0</v>
      </c>
      <c r="AH35" s="39">
        <f>IF(AQ35="0",BJ35,0)</f>
        <v>0</v>
      </c>
      <c r="AI35" s="38"/>
      <c r="AJ35" s="21">
        <f>IF(AN35=0,L35,0)</f>
        <v>0</v>
      </c>
      <c r="AK35" s="21">
        <f>IF(AN35=15,L35,0)</f>
        <v>0</v>
      </c>
      <c r="AL35" s="21">
        <f>IF(AN35=21,L35,0)</f>
        <v>0</v>
      </c>
      <c r="AN35" s="39">
        <v>15</v>
      </c>
      <c r="AO35" s="39">
        <f>I35*0.0103713632585204</f>
        <v>0</v>
      </c>
      <c r="AP35" s="39">
        <f>I35*(1-0.0103713632585204)</f>
        <v>0</v>
      </c>
      <c r="AQ35" s="40" t="s">
        <v>11</v>
      </c>
      <c r="AV35" s="39">
        <f>AW35+AX35</f>
        <v>0</v>
      </c>
      <c r="AW35" s="39">
        <f>H35*AO35</f>
        <v>0</v>
      </c>
      <c r="AX35" s="39">
        <f>H35*AP35</f>
        <v>0</v>
      </c>
      <c r="AY35" s="42" t="s">
        <v>119</v>
      </c>
      <c r="AZ35" s="42" t="s">
        <v>123</v>
      </c>
      <c r="BA35" s="38" t="s">
        <v>124</v>
      </c>
      <c r="BC35" s="39">
        <f>AW35+AX35</f>
        <v>0</v>
      </c>
      <c r="BD35" s="39">
        <f>I35/(100-BE35)*100</f>
        <v>0</v>
      </c>
      <c r="BE35" s="39">
        <v>0</v>
      </c>
      <c r="BF35" s="39">
        <f>35</f>
        <v>35</v>
      </c>
      <c r="BH35" s="21">
        <f>H35*AO35</f>
        <v>0</v>
      </c>
      <c r="BI35" s="21">
        <f>H35*AP35</f>
        <v>0</v>
      </c>
      <c r="BJ35" s="21">
        <f>H35*I35</f>
        <v>0</v>
      </c>
      <c r="BK35" s="21" t="s">
        <v>129</v>
      </c>
      <c r="BL35" s="39" t="s">
        <v>47</v>
      </c>
    </row>
    <row r="36" spans="1:64" ht="12.75">
      <c r="A36" s="7" t="s">
        <v>23</v>
      </c>
      <c r="B36" s="16" t="s">
        <v>49</v>
      </c>
      <c r="C36" s="113" t="s">
        <v>75</v>
      </c>
      <c r="D36" s="114"/>
      <c r="E36" s="114"/>
      <c r="F36" s="114"/>
      <c r="G36" s="16" t="s">
        <v>84</v>
      </c>
      <c r="H36" s="23">
        <v>11.44</v>
      </c>
      <c r="I36" s="23">
        <v>0</v>
      </c>
      <c r="J36" s="23">
        <f>H36*AO36</f>
        <v>0</v>
      </c>
      <c r="K36" s="23">
        <f>H36*AP36</f>
        <v>0</v>
      </c>
      <c r="L36" s="23">
        <f>H36*I36</f>
        <v>0</v>
      </c>
      <c r="M36" s="35" t="s">
        <v>102</v>
      </c>
      <c r="N36" s="36"/>
      <c r="Z36" s="39">
        <f>IF(AQ36="5",BJ36,0)</f>
        <v>0</v>
      </c>
      <c r="AB36" s="39">
        <f>IF(AQ36="1",BH36,0)</f>
        <v>0</v>
      </c>
      <c r="AC36" s="39">
        <f>IF(AQ36="1",BI36,0)</f>
        <v>0</v>
      </c>
      <c r="AD36" s="39">
        <f>IF(AQ36="7",BH36,0)</f>
        <v>0</v>
      </c>
      <c r="AE36" s="39">
        <f>IF(AQ36="7",BI36,0)</f>
        <v>0</v>
      </c>
      <c r="AF36" s="39">
        <f>IF(AQ36="2",BH36,0)</f>
        <v>0</v>
      </c>
      <c r="AG36" s="39">
        <f>IF(AQ36="2",BI36,0)</f>
        <v>0</v>
      </c>
      <c r="AH36" s="39">
        <f>IF(AQ36="0",BJ36,0)</f>
        <v>0</v>
      </c>
      <c r="AI36" s="38"/>
      <c r="AJ36" s="21">
        <f>IF(AN36=0,L36,0)</f>
        <v>0</v>
      </c>
      <c r="AK36" s="21">
        <f>IF(AN36=15,L36,0)</f>
        <v>0</v>
      </c>
      <c r="AL36" s="21">
        <f>IF(AN36=21,L36,0)</f>
        <v>0</v>
      </c>
      <c r="AN36" s="39">
        <v>15</v>
      </c>
      <c r="AO36" s="39">
        <f>I36*0</f>
        <v>0</v>
      </c>
      <c r="AP36" s="39">
        <f>I36*(1-0)</f>
        <v>0</v>
      </c>
      <c r="AQ36" s="40" t="s">
        <v>11</v>
      </c>
      <c r="AV36" s="39">
        <f>AW36+AX36</f>
        <v>0</v>
      </c>
      <c r="AW36" s="39">
        <f>H36*AO36</f>
        <v>0</v>
      </c>
      <c r="AX36" s="39">
        <f>H36*AP36</f>
        <v>0</v>
      </c>
      <c r="AY36" s="42" t="s">
        <v>119</v>
      </c>
      <c r="AZ36" s="42" t="s">
        <v>123</v>
      </c>
      <c r="BA36" s="38" t="s">
        <v>124</v>
      </c>
      <c r="BC36" s="39">
        <f>AW36+AX36</f>
        <v>0</v>
      </c>
      <c r="BD36" s="39">
        <f>I36/(100-BE36)*100</f>
        <v>0</v>
      </c>
      <c r="BE36" s="39">
        <v>0</v>
      </c>
      <c r="BF36" s="39">
        <f>36</f>
        <v>36</v>
      </c>
      <c r="BH36" s="21">
        <f>H36*AO36</f>
        <v>0</v>
      </c>
      <c r="BI36" s="21">
        <f>H36*AP36</f>
        <v>0</v>
      </c>
      <c r="BJ36" s="21">
        <f>H36*I36</f>
        <v>0</v>
      </c>
      <c r="BK36" s="21" t="s">
        <v>129</v>
      </c>
      <c r="BL36" s="39" t="s">
        <v>47</v>
      </c>
    </row>
    <row r="37" spans="1:13" ht="12.75">
      <c r="A37" s="8"/>
      <c r="B37" s="8"/>
      <c r="C37" s="8"/>
      <c r="D37" s="8"/>
      <c r="E37" s="8"/>
      <c r="F37" s="8"/>
      <c r="G37" s="8"/>
      <c r="H37" s="8"/>
      <c r="I37" s="8"/>
      <c r="J37" s="115" t="s">
        <v>97</v>
      </c>
      <c r="K37" s="84"/>
      <c r="L37" s="46">
        <f>L12+L14+L16+L18+L21+L28+L31+L34</f>
        <v>0</v>
      </c>
      <c r="M37" s="8"/>
    </row>
    <row r="38" ht="11.25" customHeight="1">
      <c r="A38" s="9" t="s">
        <v>24</v>
      </c>
    </row>
    <row r="39" spans="1:13" ht="12.75">
      <c r="A39" s="91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</row>
  </sheetData>
  <sheetProtection/>
  <mergeCells count="55">
    <mergeCell ref="C33:F33"/>
    <mergeCell ref="C34:F34"/>
    <mergeCell ref="C35:F35"/>
    <mergeCell ref="C36:F36"/>
    <mergeCell ref="J37:K37"/>
    <mergeCell ref="A39:M39"/>
    <mergeCell ref="C27:F27"/>
    <mergeCell ref="C28:F28"/>
    <mergeCell ref="C29:F29"/>
    <mergeCell ref="C30:F30"/>
    <mergeCell ref="C31:F31"/>
    <mergeCell ref="C32:F32"/>
    <mergeCell ref="C21:F21"/>
    <mergeCell ref="C22:F22"/>
    <mergeCell ref="C23:F23"/>
    <mergeCell ref="C24:F24"/>
    <mergeCell ref="C25:F25"/>
    <mergeCell ref="C26:F26"/>
    <mergeCell ref="C15:F15"/>
    <mergeCell ref="C16:F16"/>
    <mergeCell ref="C17:F17"/>
    <mergeCell ref="C18:F18"/>
    <mergeCell ref="C19:F19"/>
    <mergeCell ref="C20:F20"/>
    <mergeCell ref="C10:F10"/>
    <mergeCell ref="J10:L10"/>
    <mergeCell ref="C11:F11"/>
    <mergeCell ref="C12:F12"/>
    <mergeCell ref="C13:F13"/>
    <mergeCell ref="C14:F14"/>
    <mergeCell ref="A8:B9"/>
    <mergeCell ref="C8:D9"/>
    <mergeCell ref="E8:F9"/>
    <mergeCell ref="G8:H9"/>
    <mergeCell ref="I8:I9"/>
    <mergeCell ref="J8:M9"/>
    <mergeCell ref="A6:B7"/>
    <mergeCell ref="C6:D7"/>
    <mergeCell ref="E6:F7"/>
    <mergeCell ref="G6:H7"/>
    <mergeCell ref="I6:I7"/>
    <mergeCell ref="J6:M7"/>
    <mergeCell ref="A4:B5"/>
    <mergeCell ref="C4:D5"/>
    <mergeCell ref="E4:F5"/>
    <mergeCell ref="G4:H5"/>
    <mergeCell ref="I4:I5"/>
    <mergeCell ref="J4:M5"/>
    <mergeCell ref="A1:M1"/>
    <mergeCell ref="A2:B3"/>
    <mergeCell ref="C2:D3"/>
    <mergeCell ref="E2:F3"/>
    <mergeCell ref="G2:H3"/>
    <mergeCell ref="I2:I3"/>
    <mergeCell ref="J2:M3"/>
  </mergeCells>
  <printOptions/>
  <pageMargins left="0.394" right="0.394" top="0.591" bottom="0.591" header="0.5" footer="0.5"/>
  <pageSetup fitToHeight="0" fitToWidth="1" horizontalDpi="600" verticalDpi="600" orientation="portrait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D21" sqref="D21"/>
    </sheetView>
  </sheetViews>
  <sheetFormatPr defaultColWidth="11.57421875" defaultRowHeight="12.75"/>
  <cols>
    <col min="1" max="2" width="7.140625" style="0" customWidth="1"/>
    <col min="3" max="3" width="57.28125" style="0" customWidth="1"/>
    <col min="4" max="4" width="11.57421875" style="0" customWidth="1"/>
    <col min="5" max="5" width="22.140625" style="0" customWidth="1"/>
    <col min="6" max="6" width="21.00390625" style="0" customWidth="1"/>
    <col min="7" max="7" width="20.8515625" style="0" customWidth="1"/>
    <col min="8" max="9" width="0" style="0" hidden="1" customWidth="1"/>
  </cols>
  <sheetData>
    <row r="1" spans="1:7" ht="72.75" customHeight="1">
      <c r="A1" s="77" t="s">
        <v>132</v>
      </c>
      <c r="B1" s="78"/>
      <c r="C1" s="78"/>
      <c r="D1" s="78"/>
      <c r="E1" s="78"/>
      <c r="F1" s="78"/>
      <c r="G1" s="78"/>
    </row>
    <row r="2" spans="1:8" ht="12.75">
      <c r="A2" s="79" t="s">
        <v>1</v>
      </c>
      <c r="B2" s="80"/>
      <c r="C2" s="83" t="str">
        <f>'Stavební rozpočet'!C2</f>
        <v>Dodávka a montáž snížených podhledů včetně opravy elektroinstalace</v>
      </c>
      <c r="D2" s="86" t="s">
        <v>76</v>
      </c>
      <c r="E2" s="86" t="s">
        <v>6</v>
      </c>
      <c r="F2" s="87" t="s">
        <v>86</v>
      </c>
      <c r="G2" s="116" t="str">
        <f>'Stavební rozpočet'!J2</f>
        <v>Střední zdravotnická škola a Vyšší odborná škola z</v>
      </c>
      <c r="H2" s="36"/>
    </row>
    <row r="3" spans="1:8" ht="12.75">
      <c r="A3" s="81"/>
      <c r="B3" s="82"/>
      <c r="C3" s="85"/>
      <c r="D3" s="82"/>
      <c r="E3" s="82"/>
      <c r="F3" s="82"/>
      <c r="G3" s="89"/>
      <c r="H3" s="36"/>
    </row>
    <row r="4" spans="1:8" ht="12.75">
      <c r="A4" s="90" t="s">
        <v>2</v>
      </c>
      <c r="B4" s="82"/>
      <c r="C4" s="91" t="str">
        <f>'Stavební rozpočet'!C4</f>
        <v> </v>
      </c>
      <c r="D4" s="92" t="s">
        <v>77</v>
      </c>
      <c r="E4" s="92" t="s">
        <v>80</v>
      </c>
      <c r="F4" s="91" t="s">
        <v>87</v>
      </c>
      <c r="G4" s="117" t="str">
        <f>'Stavební rozpočet'!J4</f>
        <v> </v>
      </c>
      <c r="H4" s="36"/>
    </row>
    <row r="5" spans="1:8" ht="12.75">
      <c r="A5" s="81"/>
      <c r="B5" s="82"/>
      <c r="C5" s="82"/>
      <c r="D5" s="82"/>
      <c r="E5" s="82"/>
      <c r="F5" s="82"/>
      <c r="G5" s="89"/>
      <c r="H5" s="36"/>
    </row>
    <row r="6" spans="1:8" ht="12.75">
      <c r="A6" s="90" t="s">
        <v>3</v>
      </c>
      <c r="B6" s="82"/>
      <c r="C6" s="91" t="str">
        <f>'Stavební rozpočet'!C6</f>
        <v> </v>
      </c>
      <c r="D6" s="92" t="s">
        <v>78</v>
      </c>
      <c r="E6" s="92" t="s">
        <v>6</v>
      </c>
      <c r="F6" s="91" t="s">
        <v>88</v>
      </c>
      <c r="G6" s="117" t="str">
        <f>'Stavební rozpočet'!J6</f>
        <v> </v>
      </c>
      <c r="H6" s="36"/>
    </row>
    <row r="7" spans="1:8" ht="12.75">
      <c r="A7" s="81"/>
      <c r="B7" s="82"/>
      <c r="C7" s="82"/>
      <c r="D7" s="82"/>
      <c r="E7" s="82"/>
      <c r="F7" s="82"/>
      <c r="G7" s="89"/>
      <c r="H7" s="36"/>
    </row>
    <row r="8" spans="1:8" ht="12.75">
      <c r="A8" s="90" t="s">
        <v>89</v>
      </c>
      <c r="B8" s="82"/>
      <c r="C8" s="91" t="str">
        <f>'Stavební rozpočet'!J8</f>
        <v>Vladan Bartošek</v>
      </c>
      <c r="D8" s="92" t="s">
        <v>79</v>
      </c>
      <c r="E8" s="92" t="s">
        <v>80</v>
      </c>
      <c r="F8" s="92" t="s">
        <v>79</v>
      </c>
      <c r="G8" s="117" t="str">
        <f>'Stavební rozpočet'!G8</f>
        <v>13.01.2022</v>
      </c>
      <c r="H8" s="36"/>
    </row>
    <row r="9" spans="1:8" ht="12.75">
      <c r="A9" s="93"/>
      <c r="B9" s="94"/>
      <c r="C9" s="94"/>
      <c r="D9" s="118"/>
      <c r="E9" s="94"/>
      <c r="F9" s="94"/>
      <c r="G9" s="95"/>
      <c r="H9" s="36"/>
    </row>
    <row r="10" spans="1:8" ht="12.75">
      <c r="A10" s="47" t="s">
        <v>133</v>
      </c>
      <c r="B10" s="50" t="s">
        <v>25</v>
      </c>
      <c r="C10" s="52" t="s">
        <v>50</v>
      </c>
      <c r="D10" s="53"/>
      <c r="E10" s="54" t="s">
        <v>134</v>
      </c>
      <c r="F10" s="54" t="s">
        <v>135</v>
      </c>
      <c r="G10" s="54" t="s">
        <v>136</v>
      </c>
      <c r="H10" s="36"/>
    </row>
    <row r="11" spans="1:9" ht="12.75">
      <c r="A11" s="48"/>
      <c r="B11" s="51" t="s">
        <v>26</v>
      </c>
      <c r="C11" s="119" t="s">
        <v>52</v>
      </c>
      <c r="D11" s="82"/>
      <c r="E11" s="56">
        <f>'Stavební rozpočet'!J12</f>
        <v>0</v>
      </c>
      <c r="F11" s="56">
        <f>'Stavební rozpočet'!K12</f>
        <v>0</v>
      </c>
      <c r="G11" s="56">
        <f>'Stavební rozpočet'!L12</f>
        <v>0</v>
      </c>
      <c r="H11" s="39" t="s">
        <v>137</v>
      </c>
      <c r="I11" s="39">
        <f aca="true" t="shared" si="0" ref="I11:I18">IF(H11="F",0,G11)</f>
        <v>0</v>
      </c>
    </row>
    <row r="12" spans="1:9" ht="12.75">
      <c r="A12" s="49"/>
      <c r="B12" s="17" t="s">
        <v>28</v>
      </c>
      <c r="C12" s="92" t="s">
        <v>54</v>
      </c>
      <c r="D12" s="82"/>
      <c r="E12" s="39">
        <f>'Stavební rozpočet'!J14</f>
        <v>0</v>
      </c>
      <c r="F12" s="39">
        <f>'Stavební rozpočet'!K14</f>
        <v>0</v>
      </c>
      <c r="G12" s="39">
        <f>'Stavební rozpočet'!L14</f>
        <v>0</v>
      </c>
      <c r="H12" s="39" t="s">
        <v>137</v>
      </c>
      <c r="I12" s="39">
        <f t="shared" si="0"/>
        <v>0</v>
      </c>
    </row>
    <row r="13" spans="1:9" ht="12.75">
      <c r="A13" s="49"/>
      <c r="B13" s="17" t="s">
        <v>30</v>
      </c>
      <c r="C13" s="92" t="s">
        <v>56</v>
      </c>
      <c r="D13" s="82"/>
      <c r="E13" s="39">
        <f>'Stavební rozpočet'!J16</f>
        <v>0</v>
      </c>
      <c r="F13" s="39">
        <f>'Stavební rozpočet'!K16</f>
        <v>0</v>
      </c>
      <c r="G13" s="39">
        <f>'Stavební rozpočet'!L16</f>
        <v>0</v>
      </c>
      <c r="H13" s="39" t="s">
        <v>137</v>
      </c>
      <c r="I13" s="39">
        <f t="shared" si="0"/>
        <v>0</v>
      </c>
    </row>
    <row r="14" spans="1:9" ht="12.75">
      <c r="A14" s="49"/>
      <c r="B14" s="17" t="s">
        <v>32</v>
      </c>
      <c r="C14" s="92" t="s">
        <v>58</v>
      </c>
      <c r="D14" s="82"/>
      <c r="E14" s="39">
        <f>'Stavební rozpočet'!J18</f>
        <v>0</v>
      </c>
      <c r="F14" s="39">
        <f>'Stavební rozpočet'!K18</f>
        <v>0</v>
      </c>
      <c r="G14" s="39">
        <f>'Stavební rozpočet'!L18</f>
        <v>0</v>
      </c>
      <c r="H14" s="39" t="s">
        <v>137</v>
      </c>
      <c r="I14" s="39">
        <f t="shared" si="0"/>
        <v>0</v>
      </c>
    </row>
    <row r="15" spans="1:9" ht="12.75">
      <c r="A15" s="49"/>
      <c r="B15" s="17" t="s">
        <v>35</v>
      </c>
      <c r="C15" s="92" t="s">
        <v>61</v>
      </c>
      <c r="D15" s="82"/>
      <c r="E15" s="39">
        <f>'Stavební rozpočet'!J21</f>
        <v>0</v>
      </c>
      <c r="F15" s="39">
        <f>'Stavební rozpočet'!K21</f>
        <v>0</v>
      </c>
      <c r="G15" s="39">
        <f>'Stavební rozpočet'!L21</f>
        <v>0</v>
      </c>
      <c r="H15" s="39" t="s">
        <v>137</v>
      </c>
      <c r="I15" s="39">
        <f t="shared" si="0"/>
        <v>0</v>
      </c>
    </row>
    <row r="16" spans="1:9" ht="12.75">
      <c r="A16" s="49"/>
      <c r="B16" s="17" t="s">
        <v>42</v>
      </c>
      <c r="C16" s="92" t="s">
        <v>68</v>
      </c>
      <c r="D16" s="82"/>
      <c r="E16" s="39">
        <f>'Stavební rozpočet'!J28</f>
        <v>0</v>
      </c>
      <c r="F16" s="39">
        <f>'Stavební rozpočet'!K28</f>
        <v>0</v>
      </c>
      <c r="G16" s="39">
        <f>'Stavební rozpočet'!L28</f>
        <v>0</v>
      </c>
      <c r="H16" s="39" t="s">
        <v>137</v>
      </c>
      <c r="I16" s="39">
        <f t="shared" si="0"/>
        <v>0</v>
      </c>
    </row>
    <row r="17" spans="1:9" ht="12.75">
      <c r="A17" s="49"/>
      <c r="B17" s="17" t="s">
        <v>45</v>
      </c>
      <c r="C17" s="92" t="s">
        <v>71</v>
      </c>
      <c r="D17" s="82"/>
      <c r="E17" s="39">
        <v>0</v>
      </c>
      <c r="F17" s="39">
        <v>0</v>
      </c>
      <c r="G17" s="39">
        <f>'Stavební rozpočet'!L31</f>
        <v>0</v>
      </c>
      <c r="H17" s="39" t="s">
        <v>137</v>
      </c>
      <c r="I17" s="39">
        <f t="shared" si="0"/>
        <v>0</v>
      </c>
    </row>
    <row r="18" spans="1:9" ht="12.75">
      <c r="A18" s="49"/>
      <c r="B18" s="17" t="s">
        <v>47</v>
      </c>
      <c r="C18" s="92" t="s">
        <v>73</v>
      </c>
      <c r="D18" s="82"/>
      <c r="E18" s="39">
        <f>'Stavební rozpočet'!J34</f>
        <v>0</v>
      </c>
      <c r="F18" s="39">
        <f>'Stavební rozpočet'!K34</f>
        <v>0</v>
      </c>
      <c r="G18" s="39">
        <f>'Stavební rozpočet'!L34</f>
        <v>0</v>
      </c>
      <c r="H18" s="39" t="s">
        <v>137</v>
      </c>
      <c r="I18" s="39">
        <f t="shared" si="0"/>
        <v>0</v>
      </c>
    </row>
    <row r="19" spans="6:7" ht="12.75">
      <c r="F19" s="55" t="s">
        <v>97</v>
      </c>
      <c r="G19" s="57">
        <f>SUM(I11:I18)</f>
        <v>0</v>
      </c>
    </row>
  </sheetData>
  <sheetProtection/>
  <mergeCells count="33">
    <mergeCell ref="C17:D17"/>
    <mergeCell ref="C18:D18"/>
    <mergeCell ref="C11:D11"/>
    <mergeCell ref="C12:D12"/>
    <mergeCell ref="C13:D13"/>
    <mergeCell ref="C14:D14"/>
    <mergeCell ref="C15:D15"/>
    <mergeCell ref="C16:D16"/>
    <mergeCell ref="A8:B9"/>
    <mergeCell ref="C8:C9"/>
    <mergeCell ref="D8:D9"/>
    <mergeCell ref="E8:E9"/>
    <mergeCell ref="F8:F9"/>
    <mergeCell ref="G8:G9"/>
    <mergeCell ref="A6:B7"/>
    <mergeCell ref="C6:C7"/>
    <mergeCell ref="D6:D7"/>
    <mergeCell ref="E6:E7"/>
    <mergeCell ref="F6:F7"/>
    <mergeCell ref="G6:G7"/>
    <mergeCell ref="A4:B5"/>
    <mergeCell ref="C4:C5"/>
    <mergeCell ref="D4:D5"/>
    <mergeCell ref="E4:E5"/>
    <mergeCell ref="F4:F5"/>
    <mergeCell ref="G4:G5"/>
    <mergeCell ref="A1:G1"/>
    <mergeCell ref="A2:B3"/>
    <mergeCell ref="C2:C3"/>
    <mergeCell ref="D2:D3"/>
    <mergeCell ref="E2:E3"/>
    <mergeCell ref="F2:F3"/>
    <mergeCell ref="G2:G3"/>
  </mergeCells>
  <printOptions/>
  <pageMargins left="0.394" right="0.394" top="0.591" bottom="0.591" header="0.5" footer="0.5"/>
  <pageSetup fitToHeight="0" fitToWidth="1"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PageLayoutView="0" workbookViewId="0" topLeftCell="A34">
      <selection activeCell="C2" sqref="C2:D3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75"/>
      <c r="B1" s="58"/>
      <c r="C1" s="120" t="s">
        <v>153</v>
      </c>
      <c r="D1" s="78"/>
      <c r="E1" s="78"/>
      <c r="F1" s="78"/>
      <c r="G1" s="78"/>
      <c r="H1" s="78"/>
      <c r="I1" s="78"/>
    </row>
    <row r="2" spans="1:11" ht="12.75">
      <c r="A2" s="79" t="s">
        <v>1</v>
      </c>
      <c r="B2" s="80"/>
      <c r="C2" s="83" t="s">
        <v>184</v>
      </c>
      <c r="D2" s="84"/>
      <c r="E2" s="87" t="s">
        <v>86</v>
      </c>
      <c r="F2" s="87" t="str">
        <f>'Stavební rozpočet'!J2</f>
        <v>Střední zdravotnická škola a Vyšší odborná škola z</v>
      </c>
      <c r="G2" s="80"/>
      <c r="H2" s="87" t="s">
        <v>178</v>
      </c>
      <c r="I2" s="121" t="s">
        <v>182</v>
      </c>
      <c r="J2" s="36"/>
      <c r="K2" s="76" t="s">
        <v>183</v>
      </c>
    </row>
    <row r="3" spans="1:10" ht="12.75">
      <c r="A3" s="81"/>
      <c r="B3" s="82"/>
      <c r="C3" s="85"/>
      <c r="D3" s="85"/>
      <c r="E3" s="82"/>
      <c r="F3" s="82"/>
      <c r="G3" s="82"/>
      <c r="H3" s="82"/>
      <c r="I3" s="89"/>
      <c r="J3" s="36"/>
    </row>
    <row r="4" spans="1:10" ht="12.75">
      <c r="A4" s="90" t="s">
        <v>2</v>
      </c>
      <c r="B4" s="82"/>
      <c r="C4" s="91" t="str">
        <f>'Stavební rozpočet'!C4</f>
        <v> </v>
      </c>
      <c r="D4" s="82"/>
      <c r="E4" s="91" t="s">
        <v>87</v>
      </c>
      <c r="F4" s="91" t="str">
        <f>'Stavební rozpočet'!J4</f>
        <v> </v>
      </c>
      <c r="G4" s="82"/>
      <c r="H4" s="91" t="s">
        <v>178</v>
      </c>
      <c r="I4" s="122"/>
      <c r="J4" s="36"/>
    </row>
    <row r="5" spans="1:10" ht="12.75">
      <c r="A5" s="81"/>
      <c r="B5" s="82"/>
      <c r="C5" s="82"/>
      <c r="D5" s="82"/>
      <c r="E5" s="82"/>
      <c r="F5" s="82"/>
      <c r="G5" s="82"/>
      <c r="H5" s="82"/>
      <c r="I5" s="89"/>
      <c r="J5" s="36"/>
    </row>
    <row r="6" spans="1:10" ht="12.75">
      <c r="A6" s="90" t="s">
        <v>3</v>
      </c>
      <c r="B6" s="82"/>
      <c r="C6" s="91" t="str">
        <f>'Stavební rozpočet'!C6</f>
        <v> </v>
      </c>
      <c r="D6" s="82"/>
      <c r="E6" s="91" t="s">
        <v>88</v>
      </c>
      <c r="F6" s="91" t="str">
        <f>'Stavební rozpočet'!J6</f>
        <v> </v>
      </c>
      <c r="G6" s="82"/>
      <c r="H6" s="91" t="s">
        <v>178</v>
      </c>
      <c r="I6" s="122"/>
      <c r="J6" s="36"/>
    </row>
    <row r="7" spans="1:10" ht="12.75">
      <c r="A7" s="81"/>
      <c r="B7" s="82"/>
      <c r="C7" s="82"/>
      <c r="D7" s="82"/>
      <c r="E7" s="82"/>
      <c r="F7" s="82"/>
      <c r="G7" s="82"/>
      <c r="H7" s="82"/>
      <c r="I7" s="89"/>
      <c r="J7" s="36"/>
    </row>
    <row r="8" spans="1:10" ht="12.75">
      <c r="A8" s="90" t="s">
        <v>77</v>
      </c>
      <c r="B8" s="82"/>
      <c r="C8" s="91" t="str">
        <f>'Stavební rozpočet'!G4</f>
        <v>13.01.2022</v>
      </c>
      <c r="D8" s="82"/>
      <c r="E8" s="91" t="s">
        <v>78</v>
      </c>
      <c r="F8" s="91" t="str">
        <f>'Stavební rozpočet'!G6</f>
        <v> </v>
      </c>
      <c r="G8" s="82"/>
      <c r="H8" s="92" t="s">
        <v>179</v>
      </c>
      <c r="I8" s="122" t="s">
        <v>23</v>
      </c>
      <c r="J8" s="36"/>
    </row>
    <row r="9" spans="1:10" ht="12.75">
      <c r="A9" s="81"/>
      <c r="B9" s="82"/>
      <c r="C9" s="82"/>
      <c r="D9" s="82"/>
      <c r="E9" s="82"/>
      <c r="F9" s="82"/>
      <c r="G9" s="82"/>
      <c r="H9" s="82"/>
      <c r="I9" s="89"/>
      <c r="J9" s="36"/>
    </row>
    <row r="10" spans="1:10" ht="12.75">
      <c r="A10" s="90" t="s">
        <v>4</v>
      </c>
      <c r="B10" s="82"/>
      <c r="C10" s="91">
        <f>'Stavební rozpočet'!C8</f>
        <v>8013</v>
      </c>
      <c r="D10" s="82"/>
      <c r="E10" s="91" t="s">
        <v>89</v>
      </c>
      <c r="F10" s="91" t="str">
        <f>'Stavební rozpočet'!J8</f>
        <v>Vladan Bartošek</v>
      </c>
      <c r="G10" s="82"/>
      <c r="H10" s="92" t="s">
        <v>180</v>
      </c>
      <c r="I10" s="117" t="str">
        <f>'Stavební rozpočet'!G8</f>
        <v>13.01.2022</v>
      </c>
      <c r="J10" s="36"/>
    </row>
    <row r="11" spans="1:10" ht="12.75">
      <c r="A11" s="123"/>
      <c r="B11" s="118"/>
      <c r="C11" s="118"/>
      <c r="D11" s="118"/>
      <c r="E11" s="118"/>
      <c r="F11" s="118"/>
      <c r="G11" s="118"/>
      <c r="H11" s="118"/>
      <c r="I11" s="124"/>
      <c r="J11" s="36"/>
    </row>
    <row r="12" spans="1:9" ht="23.25" customHeight="1">
      <c r="A12" s="125" t="s">
        <v>138</v>
      </c>
      <c r="B12" s="126"/>
      <c r="C12" s="126"/>
      <c r="D12" s="126"/>
      <c r="E12" s="126"/>
      <c r="F12" s="126"/>
      <c r="G12" s="126"/>
      <c r="H12" s="126"/>
      <c r="I12" s="126"/>
    </row>
    <row r="13" spans="1:10" ht="26.25" customHeight="1">
      <c r="A13" s="59" t="s">
        <v>139</v>
      </c>
      <c r="B13" s="127" t="s">
        <v>151</v>
      </c>
      <c r="C13" s="128"/>
      <c r="D13" s="59" t="s">
        <v>154</v>
      </c>
      <c r="E13" s="127" t="s">
        <v>163</v>
      </c>
      <c r="F13" s="128"/>
      <c r="G13" s="59" t="s">
        <v>164</v>
      </c>
      <c r="H13" s="127" t="s">
        <v>181</v>
      </c>
      <c r="I13" s="128"/>
      <c r="J13" s="36"/>
    </row>
    <row r="14" spans="1:10" ht="15" customHeight="1">
      <c r="A14" s="60" t="s">
        <v>140</v>
      </c>
      <c r="B14" s="64" t="s">
        <v>152</v>
      </c>
      <c r="C14" s="68">
        <f>SUM('Stavební rozpočet'!AB12:AB36)</f>
        <v>0</v>
      </c>
      <c r="D14" s="129" t="s">
        <v>155</v>
      </c>
      <c r="E14" s="130"/>
      <c r="F14" s="68">
        <v>0</v>
      </c>
      <c r="G14" s="129" t="s">
        <v>165</v>
      </c>
      <c r="H14" s="130"/>
      <c r="I14" s="69" t="s">
        <v>26</v>
      </c>
      <c r="J14" s="36"/>
    </row>
    <row r="15" spans="1:10" ht="15" customHeight="1">
      <c r="A15" s="61"/>
      <c r="B15" s="64" t="s">
        <v>98</v>
      </c>
      <c r="C15" s="68">
        <f>SUM('Stavební rozpočet'!AC12:AC36)</f>
        <v>0</v>
      </c>
      <c r="D15" s="129" t="s">
        <v>156</v>
      </c>
      <c r="E15" s="130"/>
      <c r="F15" s="68">
        <v>0</v>
      </c>
      <c r="G15" s="129" t="s">
        <v>166</v>
      </c>
      <c r="H15" s="130"/>
      <c r="I15" s="69" t="s">
        <v>26</v>
      </c>
      <c r="J15" s="36"/>
    </row>
    <row r="16" spans="1:10" ht="15" customHeight="1">
      <c r="A16" s="60" t="s">
        <v>141</v>
      </c>
      <c r="B16" s="64" t="s">
        <v>152</v>
      </c>
      <c r="C16" s="68">
        <f>SUM('Stavební rozpočet'!AD12:AD36)</f>
        <v>0</v>
      </c>
      <c r="D16" s="129" t="s">
        <v>157</v>
      </c>
      <c r="E16" s="130"/>
      <c r="F16" s="68">
        <v>0</v>
      </c>
      <c r="G16" s="129" t="s">
        <v>167</v>
      </c>
      <c r="H16" s="130"/>
      <c r="I16" s="69" t="s">
        <v>26</v>
      </c>
      <c r="J16" s="36"/>
    </row>
    <row r="17" spans="1:10" ht="15" customHeight="1">
      <c r="A17" s="61"/>
      <c r="B17" s="64" t="s">
        <v>98</v>
      </c>
      <c r="C17" s="68">
        <f>SUM('Stavební rozpočet'!AE12:AE36)</f>
        <v>0</v>
      </c>
      <c r="D17" s="129"/>
      <c r="E17" s="130"/>
      <c r="F17" s="69"/>
      <c r="G17" s="129" t="s">
        <v>168</v>
      </c>
      <c r="H17" s="130"/>
      <c r="I17" s="69" t="s">
        <v>26</v>
      </c>
      <c r="J17" s="36"/>
    </row>
    <row r="18" spans="1:10" ht="15" customHeight="1">
      <c r="A18" s="60" t="s">
        <v>142</v>
      </c>
      <c r="B18" s="64" t="s">
        <v>152</v>
      </c>
      <c r="C18" s="68">
        <v>0</v>
      </c>
      <c r="D18" s="129"/>
      <c r="E18" s="130"/>
      <c r="F18" s="69"/>
      <c r="G18" s="129" t="s">
        <v>169</v>
      </c>
      <c r="H18" s="130"/>
      <c r="I18" s="69" t="s">
        <v>26</v>
      </c>
      <c r="J18" s="36"/>
    </row>
    <row r="19" spans="1:10" ht="15" customHeight="1">
      <c r="A19" s="61"/>
      <c r="B19" s="64" t="s">
        <v>98</v>
      </c>
      <c r="C19" s="68">
        <v>0</v>
      </c>
      <c r="D19" s="129"/>
      <c r="E19" s="130"/>
      <c r="F19" s="69"/>
      <c r="G19" s="129" t="s">
        <v>170</v>
      </c>
      <c r="H19" s="130"/>
      <c r="I19" s="69" t="s">
        <v>26</v>
      </c>
      <c r="J19" s="36"/>
    </row>
    <row r="20" spans="1:10" ht="15" customHeight="1">
      <c r="A20" s="131" t="s">
        <v>143</v>
      </c>
      <c r="B20" s="132"/>
      <c r="C20" s="68">
        <f>SUM('Stavební rozpočet'!AH12:AH36)</f>
        <v>0</v>
      </c>
      <c r="D20" s="129"/>
      <c r="E20" s="130"/>
      <c r="F20" s="69"/>
      <c r="G20" s="129"/>
      <c r="H20" s="130"/>
      <c r="I20" s="69"/>
      <c r="J20" s="36"/>
    </row>
    <row r="21" spans="1:10" ht="15" customHeight="1">
      <c r="A21" s="131" t="s">
        <v>144</v>
      </c>
      <c r="B21" s="132"/>
      <c r="C21" s="68">
        <f>SUM('Stavební rozpočet'!Z12:Z36)</f>
        <v>0</v>
      </c>
      <c r="D21" s="129"/>
      <c r="E21" s="130"/>
      <c r="F21" s="69"/>
      <c r="G21" s="129"/>
      <c r="H21" s="130"/>
      <c r="I21" s="69"/>
      <c r="J21" s="36"/>
    </row>
    <row r="22" spans="1:10" ht="16.5" customHeight="1">
      <c r="A22" s="131" t="s">
        <v>145</v>
      </c>
      <c r="B22" s="132"/>
      <c r="C22" s="68">
        <f>SUM(C14:C21)</f>
        <v>0</v>
      </c>
      <c r="D22" s="131" t="s">
        <v>158</v>
      </c>
      <c r="E22" s="132"/>
      <c r="F22" s="68">
        <f>SUM(F14:F21)</f>
        <v>0</v>
      </c>
      <c r="G22" s="131" t="s">
        <v>171</v>
      </c>
      <c r="H22" s="132"/>
      <c r="I22" s="68">
        <f>SUM(I14:I21)</f>
        <v>0</v>
      </c>
      <c r="J22" s="36"/>
    </row>
    <row r="23" spans="1:10" ht="15" customHeight="1">
      <c r="A23" s="8"/>
      <c r="B23" s="8"/>
      <c r="C23" s="66"/>
      <c r="D23" s="131" t="s">
        <v>159</v>
      </c>
      <c r="E23" s="132"/>
      <c r="F23" s="70">
        <v>0</v>
      </c>
      <c r="G23" s="131" t="s">
        <v>172</v>
      </c>
      <c r="H23" s="132"/>
      <c r="I23" s="68">
        <v>0</v>
      </c>
      <c r="J23" s="36"/>
    </row>
    <row r="24" spans="4:9" ht="15" customHeight="1">
      <c r="D24" s="8"/>
      <c r="E24" s="8"/>
      <c r="F24" s="71"/>
      <c r="G24" s="131" t="s">
        <v>173</v>
      </c>
      <c r="H24" s="132"/>
      <c r="I24" s="73"/>
    </row>
    <row r="25" spans="6:10" ht="15" customHeight="1">
      <c r="F25" s="72"/>
      <c r="G25" s="131" t="s">
        <v>174</v>
      </c>
      <c r="H25" s="132"/>
      <c r="I25" s="68">
        <v>0</v>
      </c>
      <c r="J25" s="36"/>
    </row>
    <row r="26" spans="1:9" ht="12.75">
      <c r="A26" s="58"/>
      <c r="B26" s="58"/>
      <c r="C26" s="58"/>
      <c r="G26" s="8"/>
      <c r="H26" s="8"/>
      <c r="I26" s="8"/>
    </row>
    <row r="27" spans="1:9" ht="15" customHeight="1">
      <c r="A27" s="133" t="s">
        <v>146</v>
      </c>
      <c r="B27" s="134"/>
      <c r="C27" s="74">
        <f>SUM('Stavební rozpočet'!AJ12:AJ36)</f>
        <v>0</v>
      </c>
      <c r="D27" s="67"/>
      <c r="E27" s="58"/>
      <c r="F27" s="58"/>
      <c r="G27" s="58"/>
      <c r="H27" s="58"/>
      <c r="I27" s="58"/>
    </row>
    <row r="28" spans="1:10" ht="15" customHeight="1">
      <c r="A28" s="133" t="s">
        <v>147</v>
      </c>
      <c r="B28" s="134"/>
      <c r="C28" s="74">
        <f>SUM('Stavební rozpočet'!AK12:AK36)+(F22+I22+F23+I23+I24+I25)</f>
        <v>0</v>
      </c>
      <c r="D28" s="133" t="s">
        <v>160</v>
      </c>
      <c r="E28" s="134"/>
      <c r="F28" s="74">
        <f>ROUND(C28*(15/100),2)</f>
        <v>0</v>
      </c>
      <c r="G28" s="133" t="s">
        <v>175</v>
      </c>
      <c r="H28" s="134"/>
      <c r="I28" s="74">
        <f>SUM(C27:C29)</f>
        <v>0</v>
      </c>
      <c r="J28" s="36"/>
    </row>
    <row r="29" spans="1:10" ht="15" customHeight="1">
      <c r="A29" s="133" t="s">
        <v>148</v>
      </c>
      <c r="B29" s="134"/>
      <c r="C29" s="74">
        <f>SUM('Stavební rozpočet'!AL12:AL36)</f>
        <v>0</v>
      </c>
      <c r="D29" s="133" t="s">
        <v>161</v>
      </c>
      <c r="E29" s="134"/>
      <c r="F29" s="74">
        <f>ROUND(C29*(21/100),2)</f>
        <v>0</v>
      </c>
      <c r="G29" s="133" t="s">
        <v>176</v>
      </c>
      <c r="H29" s="134"/>
      <c r="I29" s="74">
        <f>SUM(F28:F29)+I28</f>
        <v>0</v>
      </c>
      <c r="J29" s="36"/>
    </row>
    <row r="30" spans="1:9" ht="12.75">
      <c r="A30" s="62"/>
      <c r="B30" s="62"/>
      <c r="C30" s="62"/>
      <c r="D30" s="62"/>
      <c r="E30" s="62"/>
      <c r="F30" s="62"/>
      <c r="G30" s="62"/>
      <c r="H30" s="62"/>
      <c r="I30" s="62"/>
    </row>
    <row r="31" spans="1:10" ht="14.25" customHeight="1">
      <c r="A31" s="135" t="s">
        <v>149</v>
      </c>
      <c r="B31" s="136"/>
      <c r="C31" s="137"/>
      <c r="D31" s="135" t="s">
        <v>162</v>
      </c>
      <c r="E31" s="136"/>
      <c r="F31" s="137"/>
      <c r="G31" s="135" t="s">
        <v>177</v>
      </c>
      <c r="H31" s="136"/>
      <c r="I31" s="137"/>
      <c r="J31" s="37"/>
    </row>
    <row r="32" spans="1:10" ht="14.25" customHeight="1">
      <c r="A32" s="138"/>
      <c r="B32" s="139"/>
      <c r="C32" s="140"/>
      <c r="D32" s="138"/>
      <c r="E32" s="139"/>
      <c r="F32" s="140"/>
      <c r="G32" s="138"/>
      <c r="H32" s="139"/>
      <c r="I32" s="140"/>
      <c r="J32" s="37"/>
    </row>
    <row r="33" spans="1:10" ht="14.25" customHeight="1">
      <c r="A33" s="138"/>
      <c r="B33" s="139"/>
      <c r="C33" s="140"/>
      <c r="D33" s="138"/>
      <c r="E33" s="139"/>
      <c r="F33" s="140"/>
      <c r="G33" s="138"/>
      <c r="H33" s="139"/>
      <c r="I33" s="140"/>
      <c r="J33" s="37"/>
    </row>
    <row r="34" spans="1:10" ht="14.25" customHeight="1">
      <c r="A34" s="138"/>
      <c r="B34" s="139"/>
      <c r="C34" s="140"/>
      <c r="D34" s="138"/>
      <c r="E34" s="139"/>
      <c r="F34" s="140"/>
      <c r="G34" s="138"/>
      <c r="H34" s="139"/>
      <c r="I34" s="140"/>
      <c r="J34" s="37"/>
    </row>
    <row r="35" spans="1:10" ht="14.25" customHeight="1">
      <c r="A35" s="141" t="s">
        <v>150</v>
      </c>
      <c r="B35" s="142"/>
      <c r="C35" s="143"/>
      <c r="D35" s="141" t="s">
        <v>150</v>
      </c>
      <c r="E35" s="142"/>
      <c r="F35" s="143"/>
      <c r="G35" s="141" t="s">
        <v>150</v>
      </c>
      <c r="H35" s="142"/>
      <c r="I35" s="143"/>
      <c r="J35" s="37"/>
    </row>
    <row r="36" spans="1:9" ht="11.25" customHeight="1">
      <c r="A36" s="63" t="s">
        <v>24</v>
      </c>
      <c r="B36" s="65"/>
      <c r="C36" s="65"/>
      <c r="D36" s="65"/>
      <c r="E36" s="65"/>
      <c r="F36" s="65"/>
      <c r="G36" s="65"/>
      <c r="H36" s="65"/>
      <c r="I36" s="65"/>
    </row>
    <row r="37" spans="1:9" ht="12.75">
      <c r="A37" s="91"/>
      <c r="B37" s="82"/>
      <c r="C37" s="82"/>
      <c r="D37" s="82"/>
      <c r="E37" s="82"/>
      <c r="F37" s="82"/>
      <c r="G37" s="82"/>
      <c r="H37" s="82"/>
      <c r="I37" s="82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Ladislav Mikulčák</cp:lastModifiedBy>
  <cp:lastPrinted>2022-01-16T16:12:40Z</cp:lastPrinted>
  <dcterms:modified xsi:type="dcterms:W3CDTF">2022-02-02T13:20:38Z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